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9720" activeTab="0"/>
  </bookViews>
  <sheets>
    <sheet name="Strom für WP" sheetId="1" r:id="rId1"/>
    <sheet name="PV-E-Heizstab - SEH" sheetId="2" r:id="rId2"/>
    <sheet name="PV-WP - SEH" sheetId="3" r:id="rId3"/>
    <sheet name="Tabelle2" sheetId="4" r:id="rId4"/>
    <sheet name="Tabelle3" sheetId="5" r:id="rId5"/>
    <sheet name="Tabelle4" sheetId="6" r:id="rId6"/>
    <sheet name="Tabelle5" sheetId="7" r:id="rId7"/>
  </sheets>
  <definedNames>
    <definedName name="davon_Heizung">'Strom für WP'!$C$41</definedName>
    <definedName name="_xlnm.Print_Area" localSheetId="0">'Strom für WP'!$A$1:$M$70</definedName>
    <definedName name="energie_ges" localSheetId="0">'Strom für WP'!#REF!</definedName>
    <definedName name="energie_ges">#REF!</definedName>
    <definedName name="Erwartete_kWh_a">'Strom für WP'!$K$42</definedName>
    <definedName name="Gesamtwärmebedarf">'Strom für WP'!$J$11</definedName>
    <definedName name="Jahresarbeitszahl_Wärmepumpe">'Strom für WP'!$C$6</definedName>
    <definedName name="kwh_a" localSheetId="0">'Strom für WP'!$C$7</definedName>
    <definedName name="kwh_a">#REF!</definedName>
    <definedName name="kwh_a_allgemein" localSheetId="0">'Strom für WP'!$AR$26</definedName>
    <definedName name="kwh_a_allgemein">#REF!</definedName>
    <definedName name="pv_strom">'Strom für WP'!$C$26</definedName>
    <definedName name="Solarertrag_CPC">'Strom für WP'!$C$43</definedName>
    <definedName name="strom_haushalt" localSheetId="0">'Strom für WP'!$C$8</definedName>
    <definedName name="strom_haushalt">#REF!</definedName>
    <definedName name="strom_wp" localSheetId="0">'Strom für WP'!$I$26</definedName>
    <definedName name="strom_wp">#REF!</definedName>
    <definedName name="wärme_ges" localSheetId="0">'Strom für WP'!$I$26</definedName>
    <definedName name="wärme_ges">#REF!</definedName>
    <definedName name="wärme_gesamt">'Strom für WP'!$AL$26</definedName>
    <definedName name="wärmebedarf">'Strom für WP'!$J$7</definedName>
    <definedName name="Wärmebedarf_mit_Verlusten">'Strom für WP'!$J$7</definedName>
    <definedName name="Warmwasserbedarf" localSheetId="0">'Strom für WP'!$J$10</definedName>
    <definedName name="Warmwasserbedarf">#REF!</definedName>
    <definedName name="Wirkleistung_2">'Strom für WP'!$K$44</definedName>
    <definedName name="Wirkleistungsbegrenzung">'Strom für WP'!$C$10</definedName>
    <definedName name="WRG_aus_Lüftung">'Strom für WP'!$J$9</definedName>
  </definedNames>
  <calcPr fullCalcOnLoad="1"/>
</workbook>
</file>

<file path=xl/comments1.xml><?xml version="1.0" encoding="utf-8"?>
<comments xmlns="http://schemas.openxmlformats.org/spreadsheetml/2006/main">
  <authors>
    <author>Gerd Schallenm?ller</author>
  </authors>
  <commentList>
    <comment ref="C6" authorId="0">
      <text>
        <r>
          <rPr>
            <sz val="8"/>
            <rFont val="Tahoma"/>
            <family val="2"/>
          </rPr>
          <t>2,7 = Luft-/Wasser-WP im Neubau</t>
        </r>
        <r>
          <rPr>
            <sz val="8"/>
            <rFont val="Tahoma"/>
            <family val="0"/>
          </rPr>
          <t xml:space="preserve">
2,2 = Luft-/Wasser-WP im Bestand
4,0 = W-/W-WP im Neubau
3,2 = W-/W-WP im Bestand</t>
        </r>
      </text>
    </comment>
    <comment ref="J10" authorId="0">
      <text>
        <r>
          <rPr>
            <sz val="8"/>
            <rFont val="Tahoma"/>
            <family val="2"/>
          </rPr>
          <t xml:space="preserve">6 kWh = EFH mit 4 Personen
Andere Personenzahlen in Relation einsetzen.
</t>
        </r>
      </text>
    </comment>
    <comment ref="B13" authorId="0">
      <text>
        <r>
          <rPr>
            <sz val="8"/>
            <rFont val="Tahoma"/>
            <family val="2"/>
          </rPr>
          <t>Prozentwerte sind entsprechend Simulationen aus der Mitte Deutschlands.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 xml:space="preserve">Monatliche Leistung entsprechend der variablen Felder </t>
        </r>
        <r>
          <rPr>
            <b/>
            <sz val="8"/>
            <rFont val="Tahoma"/>
            <family val="2"/>
          </rPr>
          <t>C4 und C5</t>
        </r>
        <r>
          <rPr>
            <sz val="8"/>
            <rFont val="Tahoma"/>
            <family val="2"/>
          </rPr>
          <t xml:space="preserve"> (blau).</t>
        </r>
        <r>
          <rPr>
            <sz val="8"/>
            <rFont val="Tahoma"/>
            <family val="0"/>
          </rPr>
          <t xml:space="preserve">
</t>
        </r>
      </text>
    </comment>
    <comment ref="AK12" authorId="0">
      <text>
        <r>
          <rPr>
            <sz val="8"/>
            <rFont val="Tahoma"/>
            <family val="2"/>
          </rPr>
          <t>Durchschnittswert entsprechend Feld K4 (blau).</t>
        </r>
        <r>
          <rPr>
            <sz val="8"/>
            <rFont val="Tahoma"/>
            <family val="0"/>
          </rPr>
          <t xml:space="preserve">
</t>
        </r>
      </text>
    </comment>
    <comment ref="L13" authorId="0">
      <text>
        <r>
          <rPr>
            <sz val="8"/>
            <rFont val="Tahoma"/>
            <family val="2"/>
          </rPr>
          <t xml:space="preserve">Resultiert aus den Angaben </t>
        </r>
        <r>
          <rPr>
            <b/>
            <sz val="8"/>
            <rFont val="Tahoma"/>
            <family val="2"/>
          </rPr>
          <t xml:space="preserve">K4+L4 </t>
        </r>
        <r>
          <rPr>
            <sz val="8"/>
            <rFont val="Tahoma"/>
            <family val="2"/>
          </rPr>
          <t>und der Monatsverteilung Wärme der Felder</t>
        </r>
        <r>
          <rPr>
            <b/>
            <sz val="8"/>
            <rFont val="Tahoma"/>
            <family val="2"/>
          </rPr>
          <t xml:space="preserve"> I8 - I19</t>
        </r>
        <r>
          <rPr>
            <sz val="8"/>
            <rFont val="Tahoma"/>
            <family val="2"/>
          </rPr>
          <t xml:space="preserve">, sowie der Jahresarbeitszahl </t>
        </r>
        <r>
          <rPr>
            <b/>
            <sz val="8"/>
            <rFont val="Tahoma"/>
            <family val="2"/>
          </rPr>
          <t>G5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sz val="8"/>
            <rFont val="Tahoma"/>
            <family val="2"/>
          </rPr>
          <t xml:space="preserve">Resultiert aus der Angabe in </t>
        </r>
        <r>
          <rPr>
            <b/>
            <sz val="8"/>
            <rFont val="Tahoma"/>
            <family val="2"/>
          </rPr>
          <t>Feld K5</t>
        </r>
        <r>
          <rPr>
            <sz val="8"/>
            <rFont val="Tahoma"/>
            <family val="2"/>
          </rPr>
          <t xml:space="preserve"> und einer geringen Anpassung an die Jahreszeit.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sz val="8"/>
            <rFont val="Tahoma"/>
            <family val="2"/>
          </rPr>
          <t>Werte entsprechend verschiedenen Simulation mit Standdort Würzburg.</t>
        </r>
        <r>
          <rPr>
            <sz val="8"/>
            <rFont val="Tahoma"/>
            <family val="0"/>
          </rPr>
          <t xml:space="preserve">
</t>
        </r>
      </text>
    </comment>
    <comment ref="AJ12" authorId="0">
      <text>
        <r>
          <rPr>
            <sz val="8"/>
            <rFont val="Tahoma"/>
            <family val="2"/>
          </rPr>
          <t>Entsprechend den Angaben in Feld G4 und der monatlichen Verteilung in den Feldern I8 - I19.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sz val="8"/>
            <rFont val="Tahoma"/>
            <family val="2"/>
          </rPr>
          <t>Im neuen Einfamilienhaus liegt der Jahresbedarf zwischen 2.500 - 4.000 kWh</t>
        </r>
        <r>
          <rPr>
            <sz val="8"/>
            <rFont val="Tahoma"/>
            <family val="0"/>
          </rPr>
          <t xml:space="preserve">
</t>
        </r>
      </text>
    </comment>
    <comment ref="AK19" authorId="0">
      <text>
        <r>
          <rPr>
            <sz val="8"/>
            <rFont val="Tahoma"/>
            <family val="0"/>
          </rPr>
          <t xml:space="preserve">Urlaubszeit
</t>
        </r>
      </text>
    </comment>
    <comment ref="AL12" authorId="0">
      <text>
        <r>
          <rPr>
            <sz val="8"/>
            <rFont val="Tahoma"/>
            <family val="2"/>
          </rPr>
          <t>Wärmebedarf gesamt für Heizwärme und Warmwasser. Summe Spalten K und L.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sz val="8"/>
            <rFont val="Tahoma"/>
            <family val="2"/>
          </rPr>
          <t>Wärmebedarf gesamt für Heizwärme und Warmwasser. Summe Spalten K und L.</t>
        </r>
        <r>
          <rPr>
            <sz val="8"/>
            <rFont val="Tahoma"/>
            <family val="0"/>
          </rPr>
          <t xml:space="preserve">
</t>
        </r>
      </text>
    </comment>
    <comment ref="Z13" authorId="0">
      <text>
        <r>
          <rPr>
            <sz val="8"/>
            <rFont val="Tahoma"/>
            <family val="2"/>
          </rPr>
          <t>Prozentwerte sind entsprechend Simulationen aus der Mitte Deutschlands.</t>
        </r>
        <r>
          <rPr>
            <sz val="8"/>
            <rFont val="Tahoma"/>
            <family val="0"/>
          </rPr>
          <t xml:space="preserve">
</t>
        </r>
      </text>
    </comment>
    <comment ref="AG14" authorId="0">
      <text>
        <r>
          <rPr>
            <sz val="8"/>
            <rFont val="Arial"/>
            <family val="2"/>
          </rPr>
          <t>Verteilung ist Simulation "Family House" von Grafried.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sz val="8"/>
            <rFont val="Tahoma"/>
            <family val="2"/>
          </rPr>
          <t>Übertragen aus Simulation</t>
        </r>
        <r>
          <rPr>
            <sz val="8"/>
            <rFont val="Tahoma"/>
            <family val="0"/>
          </rPr>
          <t xml:space="preserve">
und Dachfläche ändern !</t>
        </r>
      </text>
    </comment>
    <comment ref="Z12" authorId="0">
      <text>
        <r>
          <rPr>
            <sz val="8"/>
            <rFont val="Tahoma"/>
            <family val="2"/>
          </rPr>
          <t>Solarertrag lt. Simulation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sz val="8"/>
            <rFont val="Tahoma"/>
            <family val="2"/>
          </rPr>
          <t>60 % mit Stromspeicher
70% ohne Stromspeicher, nur PV</t>
        </r>
      </text>
    </comment>
    <comment ref="K26" authorId="0">
      <text>
        <r>
          <rPr>
            <sz val="8"/>
            <rFont val="Tahoma"/>
            <family val="2"/>
          </rPr>
          <t>Strombedarf für Warm-wasser-Temperatur        &gt; 50°C und Abtauen des Verdampfers im Winter.</t>
        </r>
        <r>
          <rPr>
            <sz val="8"/>
            <rFont val="Tahoma"/>
            <family val="0"/>
          </rPr>
          <t xml:space="preserve">
</t>
        </r>
      </text>
    </comment>
    <comment ref="K27" authorId="0">
      <text>
        <r>
          <rPr>
            <sz val="8"/>
            <rFont val="Tahoma"/>
            <family val="2"/>
          </rPr>
          <t xml:space="preserve">Strombedarf für Wärme
</t>
        </r>
      </text>
    </comment>
    <comment ref="F26" authorId="0">
      <text>
        <r>
          <rPr>
            <sz val="8"/>
            <rFont val="Tahoma"/>
            <family val="2"/>
          </rPr>
          <t>Tatsächlicher Nutzeffekt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sz val="8"/>
            <rFont val="Tahoma"/>
            <family val="2"/>
          </rPr>
          <t>PV-Strom für Wärmepumpe</t>
        </r>
        <r>
          <rPr>
            <sz val="8"/>
            <rFont val="Tahoma"/>
            <family val="0"/>
          </rPr>
          <t xml:space="preserve">
</t>
        </r>
      </text>
    </comment>
    <comment ref="J5" authorId="0">
      <text>
        <r>
          <rPr>
            <sz val="8"/>
            <rFont val="Tahoma"/>
            <family val="0"/>
          </rPr>
          <t>Effizienzhaus 100 = 50 kWh/m²a pro m² Wohnfläche
Effizienzhaus   70 = 42 kWh/m²a pro m² Wohnfläche
Effizienzhaus   55 = 30 kWh/m²a pro m² Wohnfläche
Effizienzhaus   40 = 20 kWh/m²a pro m² Wohnfläche</t>
        </r>
      </text>
    </comment>
    <comment ref="J4" authorId="0">
      <text>
        <r>
          <rPr>
            <sz val="8"/>
            <rFont val="Tahoma"/>
            <family val="0"/>
          </rPr>
          <t xml:space="preserve">Nutzfläche lt. Energieein-sparnachweis
</t>
        </r>
      </text>
    </comment>
    <comment ref="M27" authorId="0">
      <text>
        <r>
          <rPr>
            <sz val="8"/>
            <rFont val="Tahoma"/>
            <family val="2"/>
          </rPr>
          <t>Würde die Wärmeversorgung mit der Energie Erdgas oder Heizöl produziert werden, würden diese Kosten entstehen.</t>
        </r>
        <r>
          <rPr>
            <sz val="8"/>
            <rFont val="Tahoma"/>
            <family val="0"/>
          </rPr>
          <t xml:space="preserve">
Mit HolzPellets wäre es noch weniger.</t>
        </r>
      </text>
    </comment>
    <comment ref="B48" authorId="0">
      <text>
        <r>
          <rPr>
            <sz val="8"/>
            <rFont val="Tahoma"/>
            <family val="2"/>
          </rPr>
          <t>Prozentwerte sind entsprechend Simulationen aus der Mitte Deutschlands.</t>
        </r>
        <r>
          <rPr>
            <sz val="8"/>
            <rFont val="Tahoma"/>
            <family val="0"/>
          </rPr>
          <t xml:space="preserve">
</t>
        </r>
      </text>
    </comment>
    <comment ref="F48" authorId="0">
      <text>
        <r>
          <rPr>
            <sz val="8"/>
            <rFont val="Tahoma"/>
            <family val="2"/>
          </rPr>
          <t>Wärmebedarf gesamt für Heizwärme und Warmwasser. Summe Spalten K und L.</t>
        </r>
        <r>
          <rPr>
            <sz val="8"/>
            <rFont val="Tahoma"/>
            <family val="0"/>
          </rPr>
          <t xml:space="preserve">
</t>
        </r>
      </text>
    </comment>
    <comment ref="K48" authorId="0">
      <text>
        <r>
          <rPr>
            <sz val="8"/>
            <rFont val="Tahoma"/>
            <family val="2"/>
          </rPr>
          <t xml:space="preserve">Resultiert aus der Angabe in </t>
        </r>
        <r>
          <rPr>
            <b/>
            <sz val="8"/>
            <rFont val="Tahoma"/>
            <family val="2"/>
          </rPr>
          <t>Feld K5</t>
        </r>
        <r>
          <rPr>
            <sz val="8"/>
            <rFont val="Tahoma"/>
            <family val="2"/>
          </rPr>
          <t xml:space="preserve"> und einer geringen Anpassung an die Jahreszeit.</t>
        </r>
        <r>
          <rPr>
            <sz val="8"/>
            <rFont val="Tahoma"/>
            <family val="0"/>
          </rPr>
          <t xml:space="preserve">
</t>
        </r>
      </text>
    </comment>
    <comment ref="B49" authorId="0">
      <text>
        <r>
          <rPr>
            <sz val="8"/>
            <rFont val="Arial"/>
            <family val="2"/>
          </rPr>
          <t>Verteilung ist Simulation "Family House" von Grafried.</t>
        </r>
        <r>
          <rPr>
            <sz val="8"/>
            <rFont val="Tahoma"/>
            <family val="0"/>
          </rPr>
          <t xml:space="preserve">
</t>
        </r>
      </text>
    </comment>
    <comment ref="G48" authorId="0">
      <text>
        <r>
          <rPr>
            <sz val="8"/>
            <rFont val="Tahoma"/>
            <family val="2"/>
          </rPr>
          <t>Wärmebedarf gesamt für Heizwärme und Warmwasser. Summe Spalten K und L.</t>
        </r>
        <r>
          <rPr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sz val="8"/>
            <rFont val="Tahoma"/>
            <family val="0"/>
          </rPr>
          <t xml:space="preserve">Sommerferien
</t>
        </r>
      </text>
    </comment>
    <comment ref="K44" authorId="0">
      <text>
        <r>
          <rPr>
            <sz val="8"/>
            <rFont val="Tahoma"/>
            <family val="2"/>
          </rPr>
          <t>60 % mit Stromspeicher
70% ohne Stromspeicher, nur PV</t>
        </r>
      </text>
    </comment>
    <comment ref="F13" authorId="0">
      <text>
        <r>
          <rPr>
            <sz val="8"/>
            <rFont val="Tahoma"/>
            <family val="0"/>
          </rPr>
          <t xml:space="preserve">Der nutzbare PV-Strom liegt deutlich unter dem produzierten Strom, da eine Wirkleist-ungsgrenze eingestellt werden muss. 
Ohne Stromspeicher 70%
Mit Stromspeicher 60%
</t>
        </r>
      </text>
    </comment>
    <comment ref="D43" authorId="0">
      <text>
        <r>
          <rPr>
            <sz val="8"/>
            <rFont val="Tahoma"/>
            <family val="2"/>
          </rPr>
          <t>Anpassen entsprechnd der geplanten Anlagen.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Gerd Schallenm?ller</author>
  </authors>
  <commentList>
    <comment ref="E21" authorId="0">
      <text>
        <r>
          <rPr>
            <sz val="9"/>
            <rFont val="Tahoma"/>
            <family val="2"/>
          </rPr>
          <t>Wert des Eigenverbrauchs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sz val="9"/>
            <rFont val="Tahoma"/>
            <family val="2"/>
          </rPr>
          <t>Wert des Eigenverbrauchs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Maximal mögliche Vergütung für 70% der Stromproduktion lt. EEG.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Bei PV-Anlagen mit einer mehr als doppelt so großen Leistung, als tatsächlich im Haus Strom verbraucht wird, sinkt der Eigenverbrauch deutlich ab.</t>
        </r>
        <r>
          <rPr>
            <sz val="8"/>
            <rFont val="Tahoma"/>
            <family val="0"/>
          </rPr>
          <t xml:space="preserve">
</t>
        </r>
      </text>
    </comment>
    <comment ref="F35" authorId="0">
      <text>
        <r>
          <rPr>
            <sz val="8"/>
            <rFont val="Tahoma"/>
            <family val="2"/>
          </rPr>
          <t>Eigenverbrauch mit Guerilla-Stromspeicher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sz val="8"/>
            <rFont val="Tahoma"/>
            <family val="2"/>
          </rPr>
          <t xml:space="preserve">Wenn Zelle rot wird, dann Kollektorfläche </t>
        </r>
        <r>
          <rPr>
            <b/>
            <sz val="8"/>
            <rFont val="Tahoma"/>
            <family val="2"/>
          </rPr>
          <t>(Feld C 22)</t>
        </r>
        <r>
          <rPr>
            <sz val="8"/>
            <rFont val="Tahoma"/>
            <family val="2"/>
          </rPr>
          <t xml:space="preserve"> verkleinern oder Holzmenge </t>
        </r>
        <r>
          <rPr>
            <b/>
            <sz val="8"/>
            <rFont val="Tahoma"/>
            <family val="2"/>
          </rPr>
          <t>(Feld B 31)</t>
        </r>
        <r>
          <rPr>
            <sz val="8"/>
            <rFont val="Tahoma"/>
            <family val="2"/>
          </rPr>
          <t xml:space="preserve"> reduzieren.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>Tagstromtarif im Durch-schnitt am 1. März 2014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Gerd Schallenm?ller</author>
  </authors>
  <commentList>
    <comment ref="E18" authorId="0">
      <text>
        <r>
          <rPr>
            <sz val="9"/>
            <rFont val="Tahoma"/>
            <family val="2"/>
          </rPr>
          <t>Maximal mögliche Vergütung für 70% der Stromproduktion lt. EEG.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sz val="9"/>
            <rFont val="Tahoma"/>
            <family val="2"/>
          </rPr>
          <t>Bei PV-Anlagen mit einer mehr als doppelt so großen Leistung, als tatsächlich im Haus Strom verbraucht wird, sinkt der Eigenverbrauch deutlich ab.</t>
        </r>
        <r>
          <rPr>
            <sz val="8"/>
            <rFont val="Tahoma"/>
            <family val="0"/>
          </rPr>
          <t xml:space="preserve">
</t>
        </r>
      </text>
    </comment>
    <comment ref="F34" authorId="0">
      <text>
        <r>
          <rPr>
            <sz val="8"/>
            <rFont val="Tahoma"/>
            <family val="2"/>
          </rPr>
          <t>Eigenverbrauch mit Guerilla-Stromspeicher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>Hier Fläche der SEH-Solaranlage eintragen!
ca. 15 - 21 m² Apertur !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sz val="8"/>
            <rFont val="Tahoma"/>
            <family val="2"/>
          </rPr>
          <t>3,5 m² CPC (ca. 5 m² FK)
ist Standard bei WP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sz val="8"/>
            <rFont val="Tahoma"/>
            <family val="2"/>
          </rPr>
          <t>Gemeint Stück Scheitholz während der Heizperiode</t>
        </r>
      </text>
    </comment>
    <comment ref="E14" authorId="0">
      <text>
        <r>
          <rPr>
            <sz val="8"/>
            <rFont val="Tahoma"/>
            <family val="2"/>
          </rPr>
          <t>Bitte prüfen, ob Dachfläche verfügbar ist!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sz val="8"/>
            <rFont val="Tahoma"/>
            <family val="2"/>
          </rPr>
          <t xml:space="preserve">Wenn Zelle rot wird, dann Kollektorfläche </t>
        </r>
        <r>
          <rPr>
            <b/>
            <sz val="8"/>
            <rFont val="Tahoma"/>
            <family val="2"/>
          </rPr>
          <t>(Feld C 22</t>
        </r>
        <r>
          <rPr>
            <sz val="8"/>
            <rFont val="Tahoma"/>
            <family val="2"/>
          </rPr>
          <t xml:space="preserve">) verkleinern oder Holzmenge </t>
        </r>
        <r>
          <rPr>
            <b/>
            <sz val="8"/>
            <rFont val="Tahoma"/>
            <family val="2"/>
          </rPr>
          <t>(Feld B 31)</t>
        </r>
        <r>
          <rPr>
            <sz val="8"/>
            <rFont val="Tahoma"/>
            <family val="2"/>
          </rPr>
          <t xml:space="preserve"> reduzieren.</t>
        </r>
        <r>
          <rPr>
            <sz val="8"/>
            <rFont val="Tahoma"/>
            <family val="0"/>
          </rPr>
          <t xml:space="preserve">
</t>
        </r>
      </text>
    </comment>
    <comment ref="B28" authorId="0">
      <text>
        <r>
          <rPr>
            <sz val="8"/>
            <rFont val="Tahoma"/>
            <family val="2"/>
          </rPr>
          <t xml:space="preserve">In der Praxis sind bei L-/W-WPs die Jahresarbeitszahlen im Durchschnitt bei 2,5. Siehe dazu
</t>
        </r>
        <r>
          <rPr>
            <b/>
            <sz val="8"/>
            <rFont val="Tahoma"/>
            <family val="2"/>
          </rPr>
          <t xml:space="preserve">www.agenda-energie-lahr.de 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>Aktueller Tagtarif im Durchschnitt am 1. März 2014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>Aktueller WP-Tarif im Durch-schnitt für neue Verträge am 1. März 2014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sz val="8"/>
            <rFont val="Tahoma"/>
            <family val="0"/>
          </rPr>
          <t xml:space="preserve">Im Lebenszyklus 20 Jahre steigt dieser Betrag beträchtlich bzw. im Rahmen der Energiepreissteigerung. Die Differenz zum SEH-Vorschlag wird immer größer.
</t>
        </r>
      </text>
    </comment>
  </commentList>
</comments>
</file>

<file path=xl/sharedStrings.xml><?xml version="1.0" encoding="utf-8"?>
<sst xmlns="http://schemas.openxmlformats.org/spreadsheetml/2006/main" count="246" uniqueCount="176">
  <si>
    <t>Monat</t>
  </si>
  <si>
    <t>Tage pro Monat</t>
  </si>
  <si>
    <t>Haushalts-strombedarf</t>
  </si>
  <si>
    <t>Leistung PV-Anlage</t>
  </si>
  <si>
    <t>Leistung/a pro kWp</t>
  </si>
  <si>
    <t>Erwartete kWh/a</t>
  </si>
  <si>
    <t>Copyright Gerd Schallenmüller, ReSys AG</t>
  </si>
  <si>
    <t>Verteilung Wärmebedarf pro Monat</t>
  </si>
  <si>
    <t>Wärmebedarf Warmwasser und Heizung</t>
  </si>
  <si>
    <t>Monatsbedarf Warmwasser u. Speicherverl.</t>
  </si>
  <si>
    <t>Tabelle ist gültig für EFH und ZFH, nicht für größere Gebäude.</t>
  </si>
  <si>
    <t>JAZ Wärmepumpe</t>
  </si>
  <si>
    <t>Monatsbedarf  Raumwärme (Energie)</t>
  </si>
  <si>
    <t>Monatsbedarf  Energie für Wärme gesamt</t>
  </si>
  <si>
    <t>Wärmepumpe</t>
  </si>
  <si>
    <t>E-Heizstab</t>
  </si>
  <si>
    <t xml:space="preserve">Gegenüberstellung </t>
  </si>
  <si>
    <t>Versorgung Neubau mit PV/E-Heizstab versus SonnenEnergieHaus®</t>
  </si>
  <si>
    <t>Hier werden die Investitionskosten und die laufenden Energiekosten von zwei verschiedenen Energieversorgungen</t>
  </si>
  <si>
    <t xml:space="preserve">(Wärme und Strom) untersucht. Einmal ein Haus mit sehr großer (zu großer) PV-Anlage, E-Heizstab und </t>
  </si>
  <si>
    <t>aufwendigem Kaminofen für Scheitholz und Pellets. Der "Gegener"  ist ein SonnenEnergieHaus, das ebenfalls</t>
  </si>
  <si>
    <t>einen E-Heizstab besitzt, aber als zentrale Wärmeversorgung eine vergleichsweise große thermische Solaranlage</t>
  </si>
  <si>
    <t>und natürlich auch den gleichen Kaminofen. Die PV-Anlage ist dem Bedarf angemessen und mit einem zusätzlichen,</t>
  </si>
  <si>
    <t>sehr effizienten "Guerilla"-Stromspeicher optimiert.</t>
  </si>
  <si>
    <t>Alle anderen Bauteile (Wärmespeicher, etc.) sind bei beiden Varianten identisch und nicht bewertet.</t>
  </si>
  <si>
    <t>blaue Felder sind veränderbar</t>
  </si>
  <si>
    <t>gelbe Felder sind Ergebnisfelder</t>
  </si>
  <si>
    <t>Haus mit PV und E-Heizstab</t>
  </si>
  <si>
    <t>SonnenEnergieHaus</t>
  </si>
  <si>
    <t>Leistung PV</t>
  </si>
  <si>
    <t>Investition pro kWp</t>
  </si>
  <si>
    <t>Leistung pro kWp</t>
  </si>
  <si>
    <t>Jahresertrag PV</t>
  </si>
  <si>
    <t>70% Einspeisung lt. EEG</t>
  </si>
  <si>
    <t>Keine Einspeisung ins Netz, nur in den Stromspeicher</t>
  </si>
  <si>
    <t>Einspeisevergütung</t>
  </si>
  <si>
    <t>Eigenverbrauch ohne / mit Stromspeicher</t>
  </si>
  <si>
    <t>Eigenverbrauch in kWh</t>
  </si>
  <si>
    <t>Thermische Solaranlage CPC Plasma</t>
  </si>
  <si>
    <t>Solarertrag pro m² Kollektorfläche bei Flächen &gt; 18 m²</t>
  </si>
  <si>
    <t>Tagstromtarif</t>
  </si>
  <si>
    <t>Solarertrag pro m² Kollektorfläche bei Flächen &gt; 16 m²</t>
  </si>
  <si>
    <t>Gesamterlös PV</t>
  </si>
  <si>
    <t>Solarertrag pro m² Kollektorfläche bei Flächen &lt; 16 m²</t>
  </si>
  <si>
    <t>Energiekostenbetrachtung (Vergleich)</t>
  </si>
  <si>
    <t>Voraussichtlicher Energiebedarf Wärme</t>
  </si>
  <si>
    <t>Thermische Solaranlage 18 m² CPC Plasma</t>
  </si>
  <si>
    <t>Einsatz E-Heizstab bei SonnenEnergieHaus</t>
  </si>
  <si>
    <t xml:space="preserve"> </t>
  </si>
  <si>
    <t>Kaminofen Haus PV-E-Heizstab</t>
  </si>
  <si>
    <t>Kaminofen SonnenEnergieHaus</t>
  </si>
  <si>
    <t>Kosten Scheitholz</t>
  </si>
  <si>
    <t>Strombezug aus dem Netz für Wärme (E-Heizstab)</t>
  </si>
  <si>
    <t>Voraussichtl. Energiebedarf Haushaltsstrom</t>
  </si>
  <si>
    <t>Eigenverbrauch mit / ohne Stromspeicher</t>
  </si>
  <si>
    <t>Stromkosten nach Eigenverbrauch</t>
  </si>
  <si>
    <t>Energiekosten gesamt (Wärme &amp; Strom) im 1. Jahr</t>
  </si>
  <si>
    <t>Investitionen</t>
  </si>
  <si>
    <t>Kaminofen</t>
  </si>
  <si>
    <t>Thermische Solaranlage</t>
  </si>
  <si>
    <t xml:space="preserve">PV-Anlage </t>
  </si>
  <si>
    <t xml:space="preserve">Guerilla-Stromspeicher 8 kWh </t>
  </si>
  <si>
    <t>Gesamtinvestition</t>
  </si>
  <si>
    <t>Kapitaldienst 10 Jahre lang</t>
  </si>
  <si>
    <t>Kreditzins</t>
  </si>
  <si>
    <t>Energiekosten pro Jahr</t>
  </si>
  <si>
    <t>Gesamtkosten 10 Jahre lang</t>
  </si>
  <si>
    <t>Kosten monatlich 10 Jahre lang (mit Investition)</t>
  </si>
  <si>
    <t>Nach 10 Jahren, wenn die Investition wie hier dargestellt bezahlt ist, sind die Energiekosten</t>
  </si>
  <si>
    <t xml:space="preserve">ein vielfaches geringer beim SonnenEnergieHaus, weil die Entscheidung sich für "freie" Energie, </t>
  </si>
  <si>
    <t xml:space="preserve">die nichts kostet (Sonne), bzw. preiswert ist (Holz), eine echte solare Altersversorgung darstellt. </t>
  </si>
  <si>
    <t xml:space="preserve">Wer hätte das gedacht, dass trotz deutlich höherer Investition, die monatliche (jährliche) Belastung der </t>
  </si>
  <si>
    <t>Energieversorgung beim SonnenEnergieHaus deutlich geringer ist ?</t>
  </si>
  <si>
    <t>Dies ist der Nachweis, dass es sich lohnt in sein eigenes Haus zu investieren, anstatt in die Aktionäre</t>
  </si>
  <si>
    <t>der Energieversorger.</t>
  </si>
  <si>
    <t>Hinweis:</t>
  </si>
  <si>
    <t>Bei der stark überdimensionerten PV-Anlage sind 15% Eigenverbrauch ohne Stromspeicher sehr ambitioniert.</t>
  </si>
  <si>
    <t>Versorgung Neubau mit PV/Wärmepumpe versus SonnenEnergieHaus®</t>
  </si>
  <si>
    <t xml:space="preserve">(Wärme und Strom) untersucht. Einmal ein Haus mit sehr großer (zu großer) PV-Anlage, mit der die Wärmepumpe </t>
  </si>
  <si>
    <t xml:space="preserve">betrieben werden soll und einem aufwendigem Kaminofen für Scheitholz und Pellets. Der "Gegener"  ist ein </t>
  </si>
  <si>
    <t xml:space="preserve">SonnenEnergieHaus, das einen E-Heizstab besitzt, aber als zentrale Wärmeversorgung eine vergleichsweise große </t>
  </si>
  <si>
    <t xml:space="preserve">thermische Solaranlage und natürlich auch den gleichen Kaminofen. Die PV-Anlage ist dem Bedarf angemessen </t>
  </si>
  <si>
    <t>und mit einem zusätzlichen, sehr effizienten "Guerilla"-Stromspeicher optimiert.</t>
  </si>
  <si>
    <t>Thermische Solaranlage CPC</t>
  </si>
  <si>
    <t>Tagstromtarif/WP-Tarif in €</t>
  </si>
  <si>
    <t xml:space="preserve">Luft-/Wasser-Wärmepumpe </t>
  </si>
  <si>
    <t>Luft-/Wasser-Wärmepumpe</t>
  </si>
  <si>
    <t>ein Vielfaches geringer, weil die Entscheidung  für "freie" Energie, die nichts kostet (Sonne), bzw. preiswert ist (Holz),</t>
  </si>
  <si>
    <t xml:space="preserve">wie eine echte solare Altersversorgung wirkt. </t>
  </si>
  <si>
    <t>Bei annähernd gleich hoher Investition spart das SonnenEnergieHaus deutlich Energiekosten, vor allem bei einem</t>
  </si>
  <si>
    <t xml:space="preserve">Lebenszyklus von 20 oder mehr Jahren. Dies ist der Nachweis, dass es sich lohnt in sein eigenes Haus zu investieren, </t>
  </si>
  <si>
    <t>anstatt in die Aktionäre der Energieversorger.</t>
  </si>
  <si>
    <t>Die Leistungen der PV-Anlage/thermischen Solaranlage hängen vom Lastprofil und den örtlichen Gegebenheiten ab.</t>
  </si>
  <si>
    <r>
      <t>Nach 10 Jahren</t>
    </r>
    <r>
      <rPr>
        <b/>
        <sz val="9"/>
        <rFont val="Arial"/>
        <family val="2"/>
      </rPr>
      <t>, wenn die Investition wie hier dargestellt bezahlt ist, sind die Energiekosten beim SonnenEnergieHaus</t>
    </r>
  </si>
  <si>
    <t xml:space="preserve">Wärmebedarf Heiz.+WW   </t>
  </si>
  <si>
    <t xml:space="preserve">Strom Haushalt </t>
  </si>
  <si>
    <t>PV-Leistung und Strombedarf für Haushalt, Haustechnik und Wärmepumpe</t>
  </si>
  <si>
    <t>Tagtarif</t>
  </si>
  <si>
    <t>WP-Tarif</t>
  </si>
  <si>
    <t>Stromkosten</t>
  </si>
  <si>
    <t>WRG aus Lüftung</t>
  </si>
  <si>
    <t>Einspeisung ins Netz:</t>
  </si>
  <si>
    <t>Prozentuale Verteilung CPC-Leistung</t>
  </si>
  <si>
    <t>Th. Solarertrag</t>
  </si>
  <si>
    <t>Wirkleistungsbegrenzung</t>
  </si>
  <si>
    <t>Wirkleistungs-begrenzung, ca.</t>
  </si>
  <si>
    <t>davon PV-Strom</t>
  </si>
  <si>
    <t>mit Stromspeicher</t>
  </si>
  <si>
    <t xml:space="preserve">mit </t>
  </si>
  <si>
    <t>ohne</t>
  </si>
  <si>
    <t>Strommenge Haus &amp; Licht</t>
  </si>
  <si>
    <t>PV-Strom nutzbar für Wärmepumpe</t>
  </si>
  <si>
    <t>Stromkosten für Wärmepumpe</t>
  </si>
  <si>
    <t>Kosten Haushaltsstrom</t>
  </si>
  <si>
    <t>Strombedarf  Haushalt und WP</t>
  </si>
  <si>
    <t>Solare Wärmeleistung Aqua Plasma</t>
  </si>
  <si>
    <t>Stromspeicher</t>
  </si>
  <si>
    <t>ja</t>
  </si>
  <si>
    <t>nein</t>
  </si>
  <si>
    <t>Strombedarf Wärmepumpe</t>
  </si>
  <si>
    <t>Monatliche          PV-Leistung</t>
  </si>
  <si>
    <t>Prozentuale Verteilung       PV-Leistung</t>
  </si>
  <si>
    <t>Einspeisung ins öffentliche Netz</t>
  </si>
  <si>
    <r>
      <t xml:space="preserve">Gesamtkosten </t>
    </r>
    <r>
      <rPr>
        <b/>
        <u val="single"/>
        <sz val="8"/>
        <color indexed="10"/>
        <rFont val="Arial"/>
        <family val="2"/>
      </rPr>
      <t>heute</t>
    </r>
    <r>
      <rPr>
        <b/>
        <sz val="8"/>
        <rFont val="Arial"/>
        <family val="2"/>
      </rPr>
      <t xml:space="preserve"> für Wärme und Haushaltsstrom bei PV-Anlage mit:</t>
    </r>
  </si>
  <si>
    <t>Diese Tabelle nimmt ausschließlich Bezug auf eine Heizungswärmepumpe, die auch einen Warmwasserspeicher mit E-Heizstab bedient.</t>
  </si>
  <si>
    <t>Wert PV-Strom</t>
  </si>
  <si>
    <t>Dachfläche</t>
  </si>
  <si>
    <t>Nutzfläche Gebäude</t>
  </si>
  <si>
    <t>Wärmebedarf WW DIN 4710 (Nutzfläche x 12,5 kWh)</t>
  </si>
  <si>
    <t>Feld veränderbar</t>
  </si>
  <si>
    <t>Beispiel SonnenEnergieHaus</t>
  </si>
  <si>
    <t>Prozentuale Verteilung       Sonnenenergie</t>
  </si>
  <si>
    <t>Solarertrag lt. Simulation</t>
  </si>
  <si>
    <t>Prozentuale Wärmeverteilung Heizung</t>
  </si>
  <si>
    <t>davon Warmwasser</t>
  </si>
  <si>
    <t>davon Heizung</t>
  </si>
  <si>
    <t>Warmwasser-bedarf</t>
  </si>
  <si>
    <t>Gesamtwärme-     bedarf</t>
  </si>
  <si>
    <t>Anlagenverluste</t>
  </si>
  <si>
    <t>Restwärme bei solarer Deckung</t>
  </si>
  <si>
    <t xml:space="preserve">Wärmebedarf Heiz.+ WW    abzügl. WRG   </t>
  </si>
  <si>
    <t>Kosten bei Erdgas</t>
  </si>
  <si>
    <t>Kosten bei Pellets</t>
  </si>
  <si>
    <t>Erdgas</t>
  </si>
  <si>
    <t>Pellets</t>
  </si>
  <si>
    <t>Einspeisung</t>
  </si>
  <si>
    <t>Monatliche PV-Leistung</t>
  </si>
  <si>
    <t>Wirkleistungs-begrenzung</t>
  </si>
  <si>
    <t>Autarkie 75%</t>
  </si>
  <si>
    <t>Stromversorgung</t>
  </si>
  <si>
    <t>Wärmeversorgung</t>
  </si>
  <si>
    <t>Energiekosten bei System SonnenEnergieHaus</t>
  </si>
  <si>
    <t>Tatsächliche Gesamtkosten bei Pellets heute</t>
  </si>
  <si>
    <t>Investition, ca.</t>
  </si>
  <si>
    <t>Förderungen</t>
  </si>
  <si>
    <t>Standardversorgung</t>
  </si>
  <si>
    <t>Mehr-Investition</t>
  </si>
  <si>
    <t>Das Ergebnis "lebt" 20 Jahre lang in erster Linie von der Einspeisevergütung.</t>
  </si>
  <si>
    <t xml:space="preserve">Wärmespeicher </t>
  </si>
  <si>
    <t>PV-Anlage WP</t>
  </si>
  <si>
    <t>PV-Anlage SEH</t>
  </si>
  <si>
    <t>Solaranlage Th</t>
  </si>
  <si>
    <t>Nutzbarer             PV-Strom</t>
  </si>
  <si>
    <t>Energiekosten</t>
  </si>
  <si>
    <t>Tatsächliche Gesamtkosten bei Erdgas heute</t>
  </si>
  <si>
    <t>Es ist sichtbar, dass die PV-Anlage nur sehr wenig zum Heizen beitragen kann - siehe Feld M25 und M27.</t>
  </si>
  <si>
    <t>Kritisch zu sehen ist, dass während der Heizperiode der Strom der Wärmepumpe zum größten Teil aus dem Kraftwerk kommt, mit schlechten Wirkungsgrad.</t>
  </si>
  <si>
    <t>Solarer Deckungs-grad im Monat</t>
  </si>
  <si>
    <t>Wärmebedarf lt. Energienachweis</t>
  </si>
  <si>
    <t>Gesamtenergiebedarf</t>
  </si>
  <si>
    <t xml:space="preserve">Wärmeenergiebedarf </t>
  </si>
  <si>
    <t>Lüftung mit WRG</t>
  </si>
  <si>
    <r>
      <t>Gesamt</t>
    </r>
    <r>
      <rPr>
        <sz val="8"/>
        <color indexed="10"/>
        <rFont val="Arial"/>
        <family val="2"/>
      </rPr>
      <t>energie</t>
    </r>
    <r>
      <rPr>
        <b/>
        <sz val="8"/>
        <color indexed="10"/>
        <rFont val="Arial"/>
        <family val="2"/>
      </rPr>
      <t>me</t>
    </r>
    <r>
      <rPr>
        <sz val="8"/>
        <rFont val="Arial"/>
        <family val="2"/>
      </rPr>
      <t>bedarf</t>
    </r>
  </si>
  <si>
    <t>Heizen mit Sonnenstrom für die Wärmepumpe ?</t>
  </si>
  <si>
    <t>So könnte die Investition aussehen:</t>
  </si>
  <si>
    <r>
      <t xml:space="preserve">Günstige Zinsen bei KfW-Finanzierung, keine, fast keine Energiekosten. </t>
    </r>
    <r>
      <rPr>
        <b/>
        <sz val="8"/>
        <rFont val="Arial"/>
        <family val="2"/>
      </rPr>
      <t>Vorteil ca. 1.000 €/a,</t>
    </r>
    <r>
      <rPr>
        <sz val="8"/>
        <rFont val="Arial"/>
        <family val="0"/>
      </rPr>
      <t xml:space="preserve"> jährlich steigend entsprechend Preissteigerungen !</t>
    </r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</si>
</sst>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kWh/a&quot;"/>
    <numFmt numFmtId="165" formatCode="#,##0\ &quot;kWh/a&quot;"/>
    <numFmt numFmtId="166" formatCode="0.0\ &quot;JAZ&quot;"/>
    <numFmt numFmtId="167" formatCode="0.0%"/>
    <numFmt numFmtId="168" formatCode="#,##0\ &quot;kWh&quot;"/>
    <numFmt numFmtId="169" formatCode="#,##0.00\ &quot;kWp&quot;"/>
    <numFmt numFmtId="170" formatCode="0.00\ &quot;kWh/d&quot;"/>
    <numFmt numFmtId="171" formatCode="#,##0\ &quot;kWh/mon&quot;"/>
    <numFmt numFmtId="172" formatCode="#,##0\ &quot;kWh/m&quot;"/>
    <numFmt numFmtId="173" formatCode="#,##0.00\ &quot;kWh&quot;"/>
    <numFmt numFmtId="174" formatCode="#,##0.00\ &quot;kWh/m&quot;"/>
    <numFmt numFmtId="175" formatCode="#,##0.00\ &quot;kWh/d&quot;"/>
    <numFmt numFmtId="176" formatCode="#,##0.0\ &quot;kWh/d&quot;"/>
    <numFmt numFmtId="177" formatCode="0.0"/>
    <numFmt numFmtId="178" formatCode="0\ &quot;kWh&quot;"/>
    <numFmt numFmtId="179" formatCode="0&quot;°&quot;"/>
    <numFmt numFmtId="180" formatCode="0&quot;°C&quot;"/>
    <numFmt numFmtId="181" formatCode="0.0\ &quot;Sack Pellets&quot;"/>
    <numFmt numFmtId="182" formatCode="0.0\ &quot;Holzscheite&quot;"/>
    <numFmt numFmtId="183" formatCode="[$-407]dddd\,\ d\.\ mmmm\ yyyy"/>
    <numFmt numFmtId="184" formatCode="0.0\ &quot;kWh&quot;"/>
    <numFmt numFmtId="185" formatCode="0\ &quot;Holzscheite&quot;"/>
    <numFmt numFmtId="186" formatCode="0.0\ &quot;kWp&quot;"/>
    <numFmt numFmtId="187" formatCode="0\ &quot;Watt&quot;"/>
    <numFmt numFmtId="188" formatCode="#,##0\ &quot;W&quot;"/>
    <numFmt numFmtId="189" formatCode="0,###\ &quot;kWh&quot;"/>
    <numFmt numFmtId="190" formatCode="0.00\ "/>
    <numFmt numFmtId="191" formatCode="#,##0.00\ &quot;€&quot;"/>
    <numFmt numFmtId="192" formatCode="#,##0.00\ &quot;€/kWh&quot;"/>
    <numFmt numFmtId="193" formatCode="#,##0\ &quot;€&quot;"/>
    <numFmt numFmtId="194" formatCode="0.00\ &quot;€/kWh&quot;"/>
    <numFmt numFmtId="195" formatCode="0.000\ &quot;€/kWh&quot;"/>
    <numFmt numFmtId="196" formatCode="###\ &quot;kWh&quot;"/>
    <numFmt numFmtId="197" formatCode="#,###\ &quot;kWh&quot;"/>
    <numFmt numFmtId="198" formatCode="0.0\ &quot;Rm&quot;"/>
    <numFmt numFmtId="199" formatCode="0\ &quot;Stück&quot;"/>
    <numFmt numFmtId="200" formatCode="#,##0\ &quot;€/kWp&quot;"/>
    <numFmt numFmtId="201" formatCode="0.0\ &quot;m²&quot;"/>
    <numFmt numFmtId="202" formatCode="0,###\ &quot;kWh/a&quot;"/>
    <numFmt numFmtId="203" formatCode="0.00\ &quot;m²&quot;"/>
    <numFmt numFmtId="204" formatCode="0\ &quot;m²&quot;"/>
    <numFmt numFmtId="205" formatCode="###\ &quot;kWh/m²a&quot;"/>
    <numFmt numFmtId="206" formatCode="0\ &quot;Cent&quot;"/>
    <numFmt numFmtId="207" formatCode="0%\ &quot;mit Stromspeicher&quot;"/>
    <numFmt numFmtId="208" formatCode="#,###\ &quot;kWh/a&quot;"/>
    <numFmt numFmtId="209" formatCode="0.0\ &quot;Cent&quot;"/>
    <numFmt numFmtId="210" formatCode="0.0\ &quot;Cent/kWh&quot;"/>
    <numFmt numFmtId="211" formatCode="#,##0\ _€"/>
    <numFmt numFmtId="212" formatCode="#,##0\ &quot;€/a&quot;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sz val="8"/>
      <name val="Tahoma"/>
      <family val="0"/>
    </font>
    <font>
      <b/>
      <sz val="8"/>
      <name val="Tahoma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8.5"/>
      <name val="Arial"/>
      <family val="2"/>
    </font>
    <font>
      <b/>
      <u val="single"/>
      <sz val="8"/>
      <color indexed="10"/>
      <name val="Arial"/>
      <family val="2"/>
    </font>
    <font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hair"/>
    </border>
    <border>
      <left style="medium">
        <color indexed="12"/>
      </left>
      <right style="medium">
        <color indexed="12"/>
      </right>
      <top style="hair"/>
      <bottom style="hair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hair"/>
    </border>
    <border>
      <left style="thin"/>
      <right style="thick"/>
      <top>
        <color indexed="63"/>
      </top>
      <bottom style="hair"/>
    </border>
    <border>
      <left style="thin"/>
      <right style="thick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86" fontId="5" fillId="2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/>
    </xf>
    <xf numFmtId="186" fontId="5" fillId="2" borderId="6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/>
    </xf>
    <xf numFmtId="200" fontId="4" fillId="2" borderId="8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>
      <alignment/>
    </xf>
    <xf numFmtId="200" fontId="4" fillId="2" borderId="10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188" fontId="4" fillId="2" borderId="8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>
      <alignment/>
    </xf>
    <xf numFmtId="188" fontId="4" fillId="2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>
      <alignment/>
    </xf>
    <xf numFmtId="188" fontId="4" fillId="0" borderId="8" xfId="0" applyNumberFormat="1" applyFont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91" fontId="4" fillId="3" borderId="12" xfId="0" applyNumberFormat="1" applyFont="1" applyFill="1" applyBorder="1" applyAlignment="1">
      <alignment horizontal="center"/>
    </xf>
    <xf numFmtId="192" fontId="4" fillId="2" borderId="8" xfId="0" applyNumberFormat="1" applyFont="1" applyFill="1" applyBorder="1" applyAlignment="1" applyProtection="1">
      <alignment horizontal="center"/>
      <protection locked="0"/>
    </xf>
    <xf numFmtId="191" fontId="4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9" fontId="4" fillId="0" borderId="8" xfId="0" applyNumberFormat="1" applyFont="1" applyFill="1" applyBorder="1" applyAlignment="1" applyProtection="1">
      <alignment horizontal="center"/>
      <protection/>
    </xf>
    <xf numFmtId="9" fontId="4" fillId="2" borderId="13" xfId="0" applyNumberFormat="1" applyFont="1" applyFill="1" applyBorder="1" applyAlignment="1" applyProtection="1">
      <alignment horizontal="center"/>
      <protection locked="0"/>
    </xf>
    <xf numFmtId="189" fontId="4" fillId="0" borderId="8" xfId="0" applyNumberFormat="1" applyFont="1" applyBorder="1" applyAlignment="1">
      <alignment horizontal="center"/>
    </xf>
    <xf numFmtId="191" fontId="4" fillId="0" borderId="12" xfId="0" applyNumberFormat="1" applyFont="1" applyFill="1" applyBorder="1" applyAlignment="1">
      <alignment horizontal="center"/>
    </xf>
    <xf numFmtId="189" fontId="4" fillId="0" borderId="13" xfId="0" applyNumberFormat="1" applyFont="1" applyBorder="1" applyAlignment="1">
      <alignment horizontal="center"/>
    </xf>
    <xf numFmtId="193" fontId="4" fillId="0" borderId="14" xfId="0" applyNumberFormat="1" applyFont="1" applyFill="1" applyBorder="1" applyAlignment="1">
      <alignment horizontal="center"/>
    </xf>
    <xf numFmtId="201" fontId="4" fillId="2" borderId="15" xfId="0" applyNumberFormat="1" applyFont="1" applyFill="1" applyBorder="1" applyAlignment="1" applyProtection="1">
      <alignment horizontal="center"/>
      <protection locked="0"/>
    </xf>
    <xf numFmtId="189" fontId="4" fillId="0" borderId="13" xfId="0" applyNumberFormat="1" applyFont="1" applyFill="1" applyBorder="1" applyAlignment="1" applyProtection="1">
      <alignment horizontal="center"/>
      <protection/>
    </xf>
    <xf numFmtId="205" fontId="1" fillId="2" borderId="0" xfId="0" applyNumberFormat="1" applyFont="1" applyFill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192" fontId="4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93" fontId="5" fillId="3" borderId="21" xfId="0" applyNumberFormat="1" applyFont="1" applyFill="1" applyBorder="1" applyAlignment="1">
      <alignment horizontal="center"/>
    </xf>
    <xf numFmtId="193" fontId="5" fillId="3" borderId="15" xfId="0" applyNumberFormat="1" applyFont="1" applyFill="1" applyBorder="1" applyAlignment="1">
      <alignment horizontal="center"/>
    </xf>
    <xf numFmtId="189" fontId="4" fillId="2" borderId="4" xfId="0" applyNumberFormat="1" applyFont="1" applyFill="1" applyBorder="1" applyAlignment="1" applyProtection="1">
      <alignment horizontal="center"/>
      <protection locked="0"/>
    </xf>
    <xf numFmtId="189" fontId="4" fillId="0" borderId="6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3" fontId="4" fillId="3" borderId="14" xfId="0" applyNumberFormat="1" applyFont="1" applyFill="1" applyBorder="1" applyAlignment="1">
      <alignment horizontal="center"/>
    </xf>
    <xf numFmtId="197" fontId="4" fillId="0" borderId="8" xfId="0" applyNumberFormat="1" applyFont="1" applyFill="1" applyBorder="1" applyAlignment="1" applyProtection="1">
      <alignment horizontal="center"/>
      <protection/>
    </xf>
    <xf numFmtId="193" fontId="4" fillId="0" borderId="12" xfId="0" applyNumberFormat="1" applyFont="1" applyFill="1" applyBorder="1" applyAlignment="1">
      <alignment horizontal="center"/>
    </xf>
    <xf numFmtId="197" fontId="4" fillId="0" borderId="13" xfId="0" applyNumberFormat="1" applyFont="1" applyFill="1" applyBorder="1" applyAlignment="1" applyProtection="1">
      <alignment horizontal="center"/>
      <protection/>
    </xf>
    <xf numFmtId="198" fontId="4" fillId="2" borderId="15" xfId="0" applyNumberFormat="1" applyFont="1" applyFill="1" applyBorder="1" applyAlignment="1" applyProtection="1">
      <alignment horizontal="center"/>
      <protection locked="0"/>
    </xf>
    <xf numFmtId="199" fontId="4" fillId="0" borderId="15" xfId="0" applyNumberFormat="1" applyFont="1" applyBorder="1" applyAlignment="1">
      <alignment/>
    </xf>
    <xf numFmtId="189" fontId="4" fillId="0" borderId="8" xfId="0" applyNumberFormat="1" applyFont="1" applyFill="1" applyBorder="1" applyAlignment="1">
      <alignment horizontal="center"/>
    </xf>
    <xf numFmtId="193" fontId="4" fillId="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93" fontId="4" fillId="0" borderId="12" xfId="0" applyNumberFormat="1" applyFont="1" applyBorder="1" applyAlignment="1">
      <alignment horizontal="center"/>
    </xf>
    <xf numFmtId="189" fontId="4" fillId="0" borderId="13" xfId="0" applyNumberFormat="1" applyFont="1" applyFill="1" applyBorder="1" applyAlignment="1">
      <alignment horizontal="center"/>
    </xf>
    <xf numFmtId="189" fontId="0" fillId="0" borderId="0" xfId="0" applyNumberFormat="1" applyAlignment="1">
      <alignment/>
    </xf>
    <xf numFmtId="0" fontId="4" fillId="0" borderId="14" xfId="0" applyFont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89" fontId="4" fillId="2" borderId="8" xfId="0" applyNumberFormat="1" applyFont="1" applyFill="1" applyBorder="1" applyAlignment="1" applyProtection="1">
      <alignment horizontal="center"/>
      <protection locked="0"/>
    </xf>
    <xf numFmtId="197" fontId="4" fillId="0" borderId="13" xfId="0" applyNumberFormat="1" applyFont="1" applyBorder="1" applyAlignment="1">
      <alignment horizontal="center"/>
    </xf>
    <xf numFmtId="193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193" fontId="4" fillId="3" borderId="17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9" fontId="4" fillId="0" borderId="24" xfId="0" applyNumberFormat="1" applyFont="1" applyFill="1" applyBorder="1" applyAlignment="1">
      <alignment horizontal="center"/>
    </xf>
    <xf numFmtId="193" fontId="5" fillId="3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3" fontId="4" fillId="2" borderId="25" xfId="0" applyNumberFormat="1" applyFont="1" applyFill="1" applyBorder="1" applyAlignment="1" applyProtection="1">
      <alignment/>
      <protection locked="0"/>
    </xf>
    <xf numFmtId="193" fontId="4" fillId="0" borderId="0" xfId="0" applyNumberFormat="1" applyFont="1" applyAlignment="1">
      <alignment/>
    </xf>
    <xf numFmtId="193" fontId="4" fillId="0" borderId="25" xfId="0" applyNumberFormat="1" applyFont="1" applyFill="1" applyBorder="1" applyAlignment="1" applyProtection="1">
      <alignment/>
      <protection/>
    </xf>
    <xf numFmtId="193" fontId="4" fillId="0" borderId="26" xfId="0" applyNumberFormat="1" applyFont="1" applyFill="1" applyBorder="1" applyAlignment="1">
      <alignment/>
    </xf>
    <xf numFmtId="193" fontId="4" fillId="2" borderId="26" xfId="0" applyNumberFormat="1" applyFont="1" applyFill="1" applyBorder="1" applyAlignment="1" applyProtection="1">
      <alignment/>
      <protection locked="0"/>
    </xf>
    <xf numFmtId="193" fontId="4" fillId="0" borderId="27" xfId="0" applyNumberFormat="1" applyFont="1" applyBorder="1" applyAlignment="1">
      <alignment/>
    </xf>
    <xf numFmtId="193" fontId="4" fillId="2" borderId="27" xfId="0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4" fillId="0" borderId="28" xfId="0" applyFont="1" applyBorder="1" applyAlignment="1">
      <alignment/>
    </xf>
    <xf numFmtId="193" fontId="5" fillId="4" borderId="15" xfId="0" applyNumberFormat="1" applyFont="1" applyFill="1" applyBorder="1" applyAlignment="1">
      <alignment/>
    </xf>
    <xf numFmtId="9" fontId="4" fillId="2" borderId="15" xfId="0" applyNumberFormat="1" applyFont="1" applyFill="1" applyBorder="1" applyAlignment="1">
      <alignment horizontal="center"/>
    </xf>
    <xf numFmtId="19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4" borderId="20" xfId="0" applyFont="1" applyFill="1" applyBorder="1" applyAlignment="1">
      <alignment/>
    </xf>
    <xf numFmtId="0" fontId="4" fillId="4" borderId="28" xfId="0" applyFont="1" applyFill="1" applyBorder="1" applyAlignment="1">
      <alignment/>
    </xf>
    <xf numFmtId="193" fontId="5" fillId="4" borderId="29" xfId="0" applyNumberFormat="1" applyFont="1" applyFill="1" applyBorder="1" applyAlignment="1">
      <alignment horizontal="right"/>
    </xf>
    <xf numFmtId="193" fontId="5" fillId="4" borderId="15" xfId="0" applyNumberFormat="1" applyFont="1" applyFill="1" applyBorder="1" applyAlignment="1">
      <alignment horizontal="right"/>
    </xf>
    <xf numFmtId="193" fontId="5" fillId="0" borderId="15" xfId="0" applyNumberFormat="1" applyFont="1" applyFill="1" applyBorder="1" applyAlignment="1">
      <alignment horizontal="right"/>
    </xf>
    <xf numFmtId="193" fontId="5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204" fontId="4" fillId="0" borderId="5" xfId="0" applyNumberFormat="1" applyFont="1" applyBorder="1" applyAlignment="1">
      <alignment horizontal="center"/>
    </xf>
    <xf numFmtId="204" fontId="4" fillId="0" borderId="30" xfId="0" applyNumberFormat="1" applyFont="1" applyBorder="1" applyAlignment="1">
      <alignment horizontal="center"/>
    </xf>
    <xf numFmtId="201" fontId="4" fillId="0" borderId="20" xfId="0" applyNumberFormat="1" applyFont="1" applyBorder="1" applyAlignment="1">
      <alignment horizontal="center"/>
    </xf>
    <xf numFmtId="202" fontId="4" fillId="0" borderId="8" xfId="0" applyNumberFormat="1" applyFont="1" applyBorder="1" applyAlignment="1">
      <alignment horizontal="center"/>
    </xf>
    <xf numFmtId="202" fontId="4" fillId="0" borderId="13" xfId="0" applyNumberFormat="1" applyFont="1" applyFill="1" applyBorder="1" applyAlignment="1" applyProtection="1">
      <alignment horizontal="center"/>
      <protection/>
    </xf>
    <xf numFmtId="190" fontId="4" fillId="2" borderId="20" xfId="0" applyNumberFormat="1" applyFont="1" applyFill="1" applyBorder="1" applyAlignment="1" applyProtection="1">
      <alignment horizontal="center"/>
      <protection locked="0"/>
    </xf>
    <xf numFmtId="4" fontId="4" fillId="2" borderId="15" xfId="0" applyNumberFormat="1" applyFont="1" applyFill="1" applyBorder="1" applyAlignment="1" applyProtection="1">
      <alignment horizontal="center"/>
      <protection locked="0"/>
    </xf>
    <xf numFmtId="166" fontId="4" fillId="2" borderId="15" xfId="0" applyNumberFormat="1" applyFont="1" applyFill="1" applyBorder="1" applyAlignment="1" applyProtection="1">
      <alignment horizontal="center"/>
      <protection locked="0"/>
    </xf>
    <xf numFmtId="193" fontId="4" fillId="2" borderId="31" xfId="0" applyNumberFormat="1" applyFont="1" applyFill="1" applyBorder="1" applyAlignment="1" applyProtection="1">
      <alignment/>
      <protection locked="0"/>
    </xf>
    <xf numFmtId="193" fontId="4" fillId="0" borderId="31" xfId="0" applyNumberFormat="1" applyFont="1" applyFill="1" applyBorder="1" applyAlignment="1" applyProtection="1">
      <alignment/>
      <protection/>
    </xf>
    <xf numFmtId="9" fontId="4" fillId="2" borderId="15" xfId="0" applyNumberFormat="1" applyFont="1" applyFill="1" applyBorder="1" applyAlignment="1" applyProtection="1">
      <alignment horizontal="center"/>
      <protection locked="0"/>
    </xf>
    <xf numFmtId="193" fontId="4" fillId="0" borderId="15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Alignment="1">
      <alignment vertical="center"/>
    </xf>
    <xf numFmtId="169" fontId="1" fillId="5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 wrapText="1"/>
    </xf>
    <xf numFmtId="165" fontId="1" fillId="6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72" fontId="1" fillId="0" borderId="25" xfId="0" applyNumberFormat="1" applyFont="1" applyBorder="1" applyAlignment="1">
      <alignment horizontal="center"/>
    </xf>
    <xf numFmtId="172" fontId="1" fillId="0" borderId="32" xfId="0" applyNumberFormat="1" applyFont="1" applyBorder="1" applyAlignment="1">
      <alignment horizontal="center"/>
    </xf>
    <xf numFmtId="172" fontId="1" fillId="3" borderId="7" xfId="0" applyNumberFormat="1" applyFont="1" applyFill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3" borderId="14" xfId="0" applyNumberFormat="1" applyFont="1" applyFill="1" applyBorder="1" applyAlignment="1">
      <alignment horizontal="center"/>
    </xf>
    <xf numFmtId="172" fontId="1" fillId="0" borderId="3" xfId="0" applyNumberFormat="1" applyFont="1" applyFill="1" applyBorder="1" applyAlignment="1">
      <alignment horizontal="center"/>
    </xf>
    <xf numFmtId="165" fontId="1" fillId="0" borderId="33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13" fillId="4" borderId="28" xfId="0" applyFont="1" applyFill="1" applyBorder="1" applyAlignment="1">
      <alignment/>
    </xf>
    <xf numFmtId="0" fontId="13" fillId="4" borderId="29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172" fontId="1" fillId="0" borderId="4" xfId="0" applyNumberFormat="1" applyFont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72" fontId="1" fillId="3" borderId="3" xfId="0" applyNumberFormat="1" applyFont="1" applyFill="1" applyBorder="1" applyAlignment="1">
      <alignment horizontal="center"/>
    </xf>
    <xf numFmtId="172" fontId="1" fillId="0" borderId="34" xfId="0" applyNumberFormat="1" applyFont="1" applyBorder="1" applyAlignment="1">
      <alignment horizontal="center"/>
    </xf>
    <xf numFmtId="172" fontId="1" fillId="3" borderId="35" xfId="0" applyNumberFormat="1" applyFont="1" applyFill="1" applyBorder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  <xf numFmtId="172" fontId="1" fillId="6" borderId="25" xfId="0" applyNumberFormat="1" applyFont="1" applyFill="1" applyBorder="1" applyAlignment="1">
      <alignment horizontal="center"/>
    </xf>
    <xf numFmtId="10" fontId="1" fillId="0" borderId="26" xfId="0" applyNumberFormat="1" applyFont="1" applyBorder="1" applyAlignment="1">
      <alignment horizontal="center"/>
    </xf>
    <xf numFmtId="172" fontId="1" fillId="6" borderId="26" xfId="0" applyNumberFormat="1" applyFont="1" applyFill="1" applyBorder="1" applyAlignment="1">
      <alignment horizontal="center"/>
    </xf>
    <xf numFmtId="10" fontId="1" fillId="0" borderId="37" xfId="0" applyNumberFormat="1" applyFont="1" applyBorder="1" applyAlignment="1">
      <alignment horizontal="center"/>
    </xf>
    <xf numFmtId="172" fontId="1" fillId="6" borderId="37" xfId="0" applyNumberFormat="1" applyFont="1" applyFill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72" fontId="1" fillId="3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72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165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72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6" fontId="1" fillId="0" borderId="0" xfId="0" applyNumberFormat="1" applyFont="1" applyFill="1" applyBorder="1" applyAlignment="1">
      <alignment horizontal="center" vertical="center"/>
    </xf>
    <xf numFmtId="172" fontId="1" fillId="0" borderId="38" xfId="0" applyNumberFormat="1" applyFont="1" applyBorder="1" applyAlignment="1">
      <alignment horizontal="center"/>
    </xf>
    <xf numFmtId="197" fontId="1" fillId="0" borderId="0" xfId="0" applyNumberFormat="1" applyFont="1" applyAlignment="1">
      <alignment horizontal="center"/>
    </xf>
    <xf numFmtId="168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1" fillId="3" borderId="25" xfId="0" applyNumberFormat="1" applyFont="1" applyFill="1" applyBorder="1" applyAlignment="1">
      <alignment horizontal="center"/>
    </xf>
    <xf numFmtId="10" fontId="1" fillId="3" borderId="26" xfId="0" applyNumberFormat="1" applyFont="1" applyFill="1" applyBorder="1" applyAlignment="1">
      <alignment horizontal="center"/>
    </xf>
    <xf numFmtId="193" fontId="1" fillId="0" borderId="15" xfId="0" applyNumberFormat="1" applyFont="1" applyFill="1" applyBorder="1" applyAlignment="1">
      <alignment horizontal="center"/>
    </xf>
    <xf numFmtId="172" fontId="1" fillId="0" borderId="36" xfId="0" applyNumberFormat="1" applyFont="1" applyFill="1" applyBorder="1" applyAlignment="1">
      <alignment horizontal="center"/>
    </xf>
    <xf numFmtId="193" fontId="13" fillId="6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4" borderId="15" xfId="0" applyFont="1" applyFill="1" applyBorder="1" applyAlignment="1">
      <alignment horizontal="center" wrapText="1"/>
    </xf>
    <xf numFmtId="168" fontId="1" fillId="4" borderId="25" xfId="0" applyNumberFormat="1" applyFont="1" applyFill="1" applyBorder="1" applyAlignment="1">
      <alignment horizontal="center"/>
    </xf>
    <xf numFmtId="168" fontId="1" fillId="4" borderId="26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93" fontId="1" fillId="0" borderId="0" xfId="0" applyNumberFormat="1" applyFont="1" applyBorder="1" applyAlignment="1">
      <alignment horizontal="center"/>
    </xf>
    <xf numFmtId="193" fontId="13" fillId="0" borderId="0" xfId="0" applyNumberFormat="1" applyFont="1" applyBorder="1" applyAlignment="1">
      <alignment horizontal="right"/>
    </xf>
    <xf numFmtId="193" fontId="1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Alignment="1">
      <alignment horizontal="center"/>
    </xf>
    <xf numFmtId="172" fontId="1" fillId="0" borderId="0" xfId="0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"/>
    </xf>
    <xf numFmtId="9" fontId="8" fillId="0" borderId="15" xfId="0" applyNumberFormat="1" applyFont="1" applyBorder="1" applyAlignment="1">
      <alignment vertical="center"/>
    </xf>
    <xf numFmtId="207" fontId="8" fillId="0" borderId="15" xfId="0" applyNumberFormat="1" applyFont="1" applyBorder="1" applyAlignment="1">
      <alignment vertical="center"/>
    </xf>
    <xf numFmtId="207" fontId="1" fillId="0" borderId="15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/>
    </xf>
    <xf numFmtId="172" fontId="1" fillId="0" borderId="39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40" xfId="0" applyNumberFormat="1" applyFont="1" applyBorder="1" applyAlignment="1">
      <alignment/>
    </xf>
    <xf numFmtId="172" fontId="1" fillId="0" borderId="33" xfId="0" applyNumberFormat="1" applyFont="1" applyBorder="1" applyAlignment="1">
      <alignment horizontal="center"/>
    </xf>
    <xf numFmtId="172" fontId="1" fillId="3" borderId="24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2" fontId="1" fillId="0" borderId="33" xfId="0" applyNumberFormat="1" applyFont="1" applyFill="1" applyBorder="1" applyAlignment="1">
      <alignment horizontal="center"/>
    </xf>
    <xf numFmtId="202" fontId="1" fillId="0" borderId="41" xfId="0" applyNumberFormat="1" applyFont="1" applyFill="1" applyBorder="1" applyAlignment="1">
      <alignment horizontal="center"/>
    </xf>
    <xf numFmtId="193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72" fontId="1" fillId="0" borderId="42" xfId="0" applyNumberFormat="1" applyFont="1" applyFill="1" applyBorder="1" applyAlignment="1">
      <alignment horizontal="center"/>
    </xf>
    <xf numFmtId="202" fontId="1" fillId="0" borderId="3" xfId="0" applyNumberFormat="1" applyFont="1" applyFill="1" applyBorder="1" applyAlignment="1">
      <alignment horizontal="center"/>
    </xf>
    <xf numFmtId="208" fontId="1" fillId="0" borderId="15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72" fontId="1" fillId="0" borderId="24" xfId="0" applyNumberFormat="1" applyFont="1" applyFill="1" applyBorder="1" applyAlignment="1">
      <alignment horizontal="right"/>
    </xf>
    <xf numFmtId="193" fontId="1" fillId="0" borderId="0" xfId="0" applyNumberFormat="1" applyFont="1" applyFill="1" applyBorder="1" applyAlignment="1">
      <alignment horizontal="right"/>
    </xf>
    <xf numFmtId="208" fontId="1" fillId="0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193" fontId="13" fillId="0" borderId="0" xfId="0" applyNumberFormat="1" applyFont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72" fontId="1" fillId="0" borderId="25" xfId="0" applyNumberFormat="1" applyFont="1" applyFill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206" fontId="1" fillId="0" borderId="0" xfId="0" applyNumberFormat="1" applyFont="1" applyFill="1" applyBorder="1" applyAlignment="1">
      <alignment horizontal="right" vertical="center"/>
    </xf>
    <xf numFmtId="193" fontId="13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/>
    </xf>
    <xf numFmtId="0" fontId="13" fillId="6" borderId="29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" fillId="0" borderId="28" xfId="0" applyFont="1" applyBorder="1" applyAlignment="1">
      <alignment horizontal="center" wrapText="1"/>
    </xf>
    <xf numFmtId="167" fontId="1" fillId="0" borderId="43" xfId="0" applyNumberFormat="1" applyFont="1" applyBorder="1" applyAlignment="1">
      <alignment horizontal="center"/>
    </xf>
    <xf numFmtId="167" fontId="1" fillId="0" borderId="44" xfId="0" applyNumberFormat="1" applyFont="1" applyBorder="1" applyAlignment="1">
      <alignment horizontal="center"/>
    </xf>
    <xf numFmtId="167" fontId="1" fillId="0" borderId="4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" wrapText="1"/>
    </xf>
    <xf numFmtId="172" fontId="1" fillId="0" borderId="46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47" xfId="0" applyNumberFormat="1" applyFont="1" applyBorder="1" applyAlignment="1">
      <alignment horizontal="center"/>
    </xf>
    <xf numFmtId="202" fontId="1" fillId="0" borderId="22" xfId="0" applyNumberFormat="1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 wrapText="1"/>
    </xf>
    <xf numFmtId="172" fontId="1" fillId="3" borderId="49" xfId="0" applyNumberFormat="1" applyFont="1" applyFill="1" applyBorder="1" applyAlignment="1">
      <alignment horizontal="center"/>
    </xf>
    <xf numFmtId="172" fontId="1" fillId="3" borderId="50" xfId="0" applyNumberFormat="1" applyFont="1" applyFill="1" applyBorder="1" applyAlignment="1">
      <alignment horizontal="center"/>
    </xf>
    <xf numFmtId="172" fontId="1" fillId="0" borderId="51" xfId="0" applyNumberFormat="1" applyFont="1" applyBorder="1" applyAlignment="1">
      <alignment horizontal="center"/>
    </xf>
    <xf numFmtId="208" fontId="1" fillId="0" borderId="0" xfId="0" applyNumberFormat="1" applyFont="1" applyAlignment="1">
      <alignment/>
    </xf>
    <xf numFmtId="208" fontId="13" fillId="6" borderId="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08" fontId="13" fillId="0" borderId="3" xfId="0" applyNumberFormat="1" applyFont="1" applyFill="1" applyBorder="1" applyAlignment="1">
      <alignment horizontal="center"/>
    </xf>
    <xf numFmtId="169" fontId="13" fillId="6" borderId="52" xfId="0" applyNumberFormat="1" applyFont="1" applyFill="1" applyBorder="1" applyAlignment="1">
      <alignment horizontal="center"/>
    </xf>
    <xf numFmtId="209" fontId="1" fillId="0" borderId="0" xfId="0" applyNumberFormat="1" applyFont="1" applyFill="1" applyBorder="1" applyAlignment="1">
      <alignment horizontal="center" vertical="center"/>
    </xf>
    <xf numFmtId="204" fontId="8" fillId="0" borderId="0" xfId="0" applyNumberFormat="1" applyFont="1" applyAlignment="1">
      <alignment horizontal="right" vertical="center"/>
    </xf>
    <xf numFmtId="0" fontId="1" fillId="0" borderId="43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208" fontId="1" fillId="0" borderId="0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72" fontId="1" fillId="0" borderId="25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208" fontId="1" fillId="7" borderId="15" xfId="0" applyNumberFormat="1" applyFont="1" applyFill="1" applyBorder="1" applyAlignment="1">
      <alignment horizontal="center"/>
    </xf>
    <xf numFmtId="172" fontId="1" fillId="3" borderId="25" xfId="0" applyNumberFormat="1" applyFont="1" applyFill="1" applyBorder="1" applyAlignment="1">
      <alignment/>
    </xf>
    <xf numFmtId="172" fontId="1" fillId="3" borderId="37" xfId="0" applyNumberFormat="1" applyFont="1" applyFill="1" applyBorder="1" applyAlignment="1">
      <alignment/>
    </xf>
    <xf numFmtId="172" fontId="1" fillId="3" borderId="31" xfId="0" applyNumberFormat="1" applyFont="1" applyFill="1" applyBorder="1" applyAlignment="1">
      <alignment/>
    </xf>
    <xf numFmtId="208" fontId="1" fillId="0" borderId="15" xfId="0" applyNumberFormat="1" applyFont="1" applyFill="1" applyBorder="1" applyAlignment="1" applyProtection="1">
      <alignment horizontal="center" vertical="center"/>
      <protection locked="0"/>
    </xf>
    <xf numFmtId="208" fontId="1" fillId="0" borderId="15" xfId="0" applyNumberFormat="1" applyFont="1" applyBorder="1" applyAlignment="1">
      <alignment horizontal="center"/>
    </xf>
    <xf numFmtId="167" fontId="1" fillId="0" borderId="43" xfId="0" applyNumberFormat="1" applyFont="1" applyBorder="1" applyAlignment="1">
      <alignment/>
    </xf>
    <xf numFmtId="167" fontId="1" fillId="0" borderId="44" xfId="0" applyNumberFormat="1" applyFont="1" applyBorder="1" applyAlignment="1">
      <alignment/>
    </xf>
    <xf numFmtId="167" fontId="1" fillId="0" borderId="25" xfId="0" applyNumberFormat="1" applyFont="1" applyBorder="1" applyAlignment="1">
      <alignment/>
    </xf>
    <xf numFmtId="167" fontId="1" fillId="0" borderId="26" xfId="0" applyNumberFormat="1" applyFont="1" applyBorder="1" applyAlignment="1">
      <alignment/>
    </xf>
    <xf numFmtId="172" fontId="1" fillId="0" borderId="31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 vertical="center"/>
    </xf>
    <xf numFmtId="167" fontId="1" fillId="0" borderId="36" xfId="0" applyNumberFormat="1" applyFont="1" applyBorder="1" applyAlignment="1">
      <alignment/>
    </xf>
    <xf numFmtId="167" fontId="1" fillId="0" borderId="3" xfId="0" applyNumberFormat="1" applyFont="1" applyBorder="1" applyAlignment="1">
      <alignment/>
    </xf>
    <xf numFmtId="208" fontId="1" fillId="0" borderId="36" xfId="0" applyNumberFormat="1" applyFont="1" applyBorder="1" applyAlignment="1">
      <alignment/>
    </xf>
    <xf numFmtId="167" fontId="1" fillId="0" borderId="45" xfId="0" applyNumberFormat="1" applyFont="1" applyBorder="1" applyAlignment="1">
      <alignment/>
    </xf>
    <xf numFmtId="167" fontId="1" fillId="0" borderId="37" xfId="0" applyNumberFormat="1" applyFont="1" applyBorder="1" applyAlignment="1">
      <alignment/>
    </xf>
    <xf numFmtId="172" fontId="1" fillId="0" borderId="5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72" fontId="1" fillId="0" borderId="43" xfId="0" applyNumberFormat="1" applyFont="1" applyBorder="1" applyAlignment="1">
      <alignment horizontal="center"/>
    </xf>
    <xf numFmtId="172" fontId="1" fillId="0" borderId="44" xfId="0" applyNumberFormat="1" applyFont="1" applyBorder="1" applyAlignment="1">
      <alignment horizontal="center"/>
    </xf>
    <xf numFmtId="172" fontId="1" fillId="0" borderId="45" xfId="0" applyNumberFormat="1" applyFont="1" applyBorder="1" applyAlignment="1">
      <alignment horizontal="center"/>
    </xf>
    <xf numFmtId="208" fontId="1" fillId="0" borderId="3" xfId="0" applyNumberFormat="1" applyFont="1" applyBorder="1" applyAlignment="1">
      <alignment horizontal="center"/>
    </xf>
    <xf numFmtId="208" fontId="1" fillId="0" borderId="3" xfId="0" applyNumberFormat="1" applyFont="1" applyFill="1" applyBorder="1" applyAlignment="1">
      <alignment horizontal="center"/>
    </xf>
    <xf numFmtId="208" fontId="8" fillId="0" borderId="15" xfId="0" applyNumberFormat="1" applyFont="1" applyBorder="1" applyAlignment="1">
      <alignment horizontal="center" vertical="center"/>
    </xf>
    <xf numFmtId="205" fontId="1" fillId="0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Fill="1" applyAlignment="1">
      <alignment horizontal="center" vertical="center"/>
    </xf>
    <xf numFmtId="205" fontId="1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wrapText="1"/>
    </xf>
    <xf numFmtId="193" fontId="1" fillId="0" borderId="15" xfId="0" applyNumberFormat="1" applyFont="1" applyFill="1" applyBorder="1" applyAlignment="1">
      <alignment horizontal="center"/>
    </xf>
    <xf numFmtId="208" fontId="1" fillId="0" borderId="0" xfId="0" applyNumberFormat="1" applyFont="1" applyFill="1" applyBorder="1" applyAlignment="1">
      <alignment horizontal="right"/>
    </xf>
    <xf numFmtId="0" fontId="1" fillId="6" borderId="3" xfId="0" applyFont="1" applyFill="1" applyBorder="1" applyAlignment="1">
      <alignment horizontal="center" wrapText="1"/>
    </xf>
    <xf numFmtId="193" fontId="5" fillId="0" borderId="0" xfId="0" applyNumberFormat="1" applyFont="1" applyFill="1" applyBorder="1" applyAlignment="1">
      <alignment horizontal="left"/>
    </xf>
    <xf numFmtId="9" fontId="1" fillId="0" borderId="15" xfId="0" applyNumberFormat="1" applyFont="1" applyFill="1" applyBorder="1" applyAlignment="1" applyProtection="1">
      <alignment horizontal="center" vertical="center"/>
      <protection locked="0"/>
    </xf>
    <xf numFmtId="172" fontId="1" fillId="0" borderId="46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1" fillId="0" borderId="47" xfId="0" applyNumberFormat="1" applyFont="1" applyBorder="1" applyAlignment="1">
      <alignment horizontal="center"/>
    </xf>
    <xf numFmtId="0" fontId="1" fillId="3" borderId="54" xfId="0" applyFont="1" applyFill="1" applyBorder="1" applyAlignment="1">
      <alignment horizontal="center" wrapText="1"/>
    </xf>
    <xf numFmtId="172" fontId="1" fillId="3" borderId="55" xfId="0" applyNumberFormat="1" applyFont="1" applyFill="1" applyBorder="1" applyAlignment="1">
      <alignment horizontal="center"/>
    </xf>
    <xf numFmtId="172" fontId="1" fillId="3" borderId="56" xfId="0" applyNumberFormat="1" applyFont="1" applyFill="1" applyBorder="1" applyAlignment="1">
      <alignment horizontal="center"/>
    </xf>
    <xf numFmtId="172" fontId="1" fillId="3" borderId="57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212" fontId="13" fillId="4" borderId="58" xfId="0" applyNumberFormat="1" applyFont="1" applyFill="1" applyBorder="1" applyAlignment="1">
      <alignment horizontal="center"/>
    </xf>
    <xf numFmtId="212" fontId="13" fillId="6" borderId="59" xfId="0" applyNumberFormat="1" applyFont="1" applyFill="1" applyBorder="1" applyAlignment="1">
      <alignment horizontal="center"/>
    </xf>
    <xf numFmtId="212" fontId="13" fillId="0" borderId="15" xfId="0" applyNumberFormat="1" applyFont="1" applyFill="1" applyBorder="1" applyAlignment="1">
      <alignment horizontal="center"/>
    </xf>
    <xf numFmtId="212" fontId="1" fillId="0" borderId="3" xfId="0" applyNumberFormat="1" applyFont="1" applyFill="1" applyBorder="1" applyAlignment="1">
      <alignment horizontal="center"/>
    </xf>
    <xf numFmtId="212" fontId="1" fillId="0" borderId="15" xfId="0" applyNumberFormat="1" applyFont="1" applyFill="1" applyBorder="1" applyAlignment="1">
      <alignment horizontal="center"/>
    </xf>
    <xf numFmtId="212" fontId="1" fillId="0" borderId="2" xfId="0" applyNumberFormat="1" applyFont="1" applyFill="1" applyBorder="1" applyAlignment="1">
      <alignment horizontal="center"/>
    </xf>
    <xf numFmtId="208" fontId="1" fillId="0" borderId="41" xfId="0" applyNumberFormat="1" applyFont="1" applyBorder="1" applyAlignment="1">
      <alignment/>
    </xf>
    <xf numFmtId="174" fontId="1" fillId="4" borderId="25" xfId="0" applyNumberFormat="1" applyFont="1" applyFill="1" applyBorder="1" applyAlignment="1">
      <alignment horizontal="center"/>
    </xf>
    <xf numFmtId="174" fontId="1" fillId="4" borderId="26" xfId="0" applyNumberFormat="1" applyFont="1" applyFill="1" applyBorder="1" applyAlignment="1">
      <alignment horizontal="center"/>
    </xf>
    <xf numFmtId="174" fontId="1" fillId="4" borderId="53" xfId="0" applyNumberFormat="1" applyFont="1" applyFill="1" applyBorder="1" applyAlignment="1">
      <alignment horizontal="center"/>
    </xf>
    <xf numFmtId="212" fontId="13" fillId="8" borderId="2" xfId="0" applyNumberFormat="1" applyFont="1" applyFill="1" applyBorder="1" applyAlignment="1">
      <alignment horizontal="center"/>
    </xf>
    <xf numFmtId="0" fontId="1" fillId="4" borderId="2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wrapText="1"/>
    </xf>
    <xf numFmtId="10" fontId="1" fillId="3" borderId="27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93" fontId="8" fillId="0" borderId="0" xfId="0" applyNumberFormat="1" applyFont="1" applyAlignment="1">
      <alignment vertical="center"/>
    </xf>
    <xf numFmtId="193" fontId="1" fillId="0" borderId="0" xfId="0" applyNumberFormat="1" applyFont="1" applyFill="1" applyBorder="1" applyAlignment="1">
      <alignment horizontal="center" vertical="center"/>
    </xf>
    <xf numFmtId="168" fontId="13" fillId="0" borderId="42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9" fontId="1" fillId="0" borderId="15" xfId="0" applyNumberFormat="1" applyFont="1" applyFill="1" applyBorder="1" applyAlignment="1">
      <alignment horizontal="center"/>
    </xf>
    <xf numFmtId="193" fontId="1" fillId="0" borderId="0" xfId="0" applyNumberFormat="1" applyFont="1" applyFill="1" applyBorder="1" applyAlignment="1">
      <alignment horizontal="right" vertical="center"/>
    </xf>
    <xf numFmtId="193" fontId="1" fillId="0" borderId="0" xfId="0" applyNumberFormat="1" applyFont="1" applyFill="1" applyAlignment="1">
      <alignment horizontal="right" vertical="center"/>
    </xf>
    <xf numFmtId="193" fontId="13" fillId="0" borderId="0" xfId="0" applyNumberFormat="1" applyFont="1" applyFill="1" applyBorder="1" applyAlignment="1">
      <alignment horizontal="right" wrapText="1"/>
    </xf>
    <xf numFmtId="193" fontId="1" fillId="0" borderId="0" xfId="0" applyNumberFormat="1" applyFont="1" applyAlignment="1">
      <alignment horizontal="right" vertical="center"/>
    </xf>
    <xf numFmtId="193" fontId="1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19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93" fontId="5" fillId="0" borderId="0" xfId="0" applyNumberFormat="1" applyFont="1" applyFill="1" applyBorder="1" applyAlignment="1">
      <alignment horizontal="center"/>
    </xf>
    <xf numFmtId="10" fontId="1" fillId="0" borderId="36" xfId="0" applyNumberFormat="1" applyFont="1" applyFill="1" applyBorder="1" applyAlignment="1">
      <alignment horizontal="center"/>
    </xf>
    <xf numFmtId="0" fontId="13" fillId="8" borderId="20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17" fillId="0" borderId="20" xfId="0" applyFont="1" applyBorder="1" applyAlignment="1">
      <alignment horizontal="center" vertical="center"/>
    </xf>
    <xf numFmtId="208" fontId="13" fillId="0" borderId="41" xfId="0" applyNumberFormat="1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193" fontId="1" fillId="0" borderId="15" xfId="0" applyNumberFormat="1" applyFont="1" applyBorder="1" applyAlignment="1">
      <alignment horizontal="center"/>
    </xf>
    <xf numFmtId="193" fontId="1" fillId="0" borderId="2" xfId="0" applyNumberFormat="1" applyFont="1" applyBorder="1" applyAlignment="1">
      <alignment horizontal="center"/>
    </xf>
    <xf numFmtId="193" fontId="13" fillId="0" borderId="58" xfId="0" applyNumberFormat="1" applyFont="1" applyFill="1" applyBorder="1" applyAlignment="1">
      <alignment horizontal="center"/>
    </xf>
    <xf numFmtId="0" fontId="1" fillId="4" borderId="0" xfId="0" applyFont="1" applyFill="1" applyAlignment="1">
      <alignment/>
    </xf>
    <xf numFmtId="165" fontId="1" fillId="0" borderId="15" xfId="0" applyNumberFormat="1" applyFont="1" applyFill="1" applyBorder="1" applyAlignment="1" applyProtection="1">
      <alignment horizontal="center" vertical="center"/>
      <protection/>
    </xf>
    <xf numFmtId="165" fontId="1" fillId="0" borderId="2" xfId="0" applyNumberFormat="1" applyFont="1" applyFill="1" applyBorder="1" applyAlignment="1" applyProtection="1">
      <alignment horizontal="center" vertical="center"/>
      <protection/>
    </xf>
    <xf numFmtId="9" fontId="1" fillId="0" borderId="15" xfId="0" applyNumberFormat="1" applyFont="1" applyFill="1" applyBorder="1" applyAlignment="1" applyProtection="1">
      <alignment horizontal="center" vertical="center"/>
      <protection/>
    </xf>
    <xf numFmtId="212" fontId="13" fillId="9" borderId="2" xfId="0" applyNumberFormat="1" applyFont="1" applyFill="1" applyBorder="1" applyAlignment="1">
      <alignment horizontal="center"/>
    </xf>
    <xf numFmtId="212" fontId="13" fillId="8" borderId="58" xfId="0" applyNumberFormat="1" applyFont="1" applyFill="1" applyBorder="1" applyAlignment="1">
      <alignment horizontal="center"/>
    </xf>
    <xf numFmtId="208" fontId="13" fillId="0" borderId="33" xfId="0" applyNumberFormat="1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208" fontId="1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33" xfId="0" applyFont="1" applyFill="1" applyBorder="1" applyAlignment="1">
      <alignment horizontal="center" wrapText="1"/>
    </xf>
    <xf numFmtId="208" fontId="13" fillId="0" borderId="0" xfId="0" applyNumberFormat="1" applyFont="1" applyFill="1" applyBorder="1" applyAlignment="1">
      <alignment horizontal="center"/>
    </xf>
    <xf numFmtId="210" fontId="1" fillId="0" borderId="2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169" fontId="1" fillId="2" borderId="15" xfId="0" applyNumberFormat="1" applyFont="1" applyFill="1" applyBorder="1" applyAlignment="1" applyProtection="1">
      <alignment horizontal="center" vertical="center"/>
      <protection locked="0"/>
    </xf>
    <xf numFmtId="165" fontId="1" fillId="2" borderId="15" xfId="0" applyNumberFormat="1" applyFont="1" applyFill="1" applyBorder="1" applyAlignment="1" applyProtection="1">
      <alignment horizontal="center" vertical="center"/>
      <protection locked="0"/>
    </xf>
    <xf numFmtId="166" fontId="1" fillId="2" borderId="15" xfId="0" applyNumberFormat="1" applyFont="1" applyFill="1" applyBorder="1" applyAlignment="1" applyProtection="1">
      <alignment horizontal="center" vertical="center"/>
      <protection locked="0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204" fontId="1" fillId="2" borderId="15" xfId="0" applyNumberFormat="1" applyFont="1" applyFill="1" applyBorder="1" applyAlignment="1" applyProtection="1">
      <alignment horizontal="center" vertical="center"/>
      <protection locked="0"/>
    </xf>
    <xf numFmtId="205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210" fontId="1" fillId="2" borderId="15" xfId="0" applyNumberFormat="1" applyFont="1" applyFill="1" applyBorder="1" applyAlignment="1" applyProtection="1">
      <alignment horizontal="center" vertical="center"/>
      <protection locked="0"/>
    </xf>
    <xf numFmtId="165" fontId="1" fillId="7" borderId="15" xfId="0" applyNumberFormat="1" applyFont="1" applyFill="1" applyBorder="1" applyAlignment="1" applyProtection="1">
      <alignment horizontal="center" vertical="center"/>
      <protection locked="0"/>
    </xf>
    <xf numFmtId="172" fontId="13" fillId="6" borderId="31" xfId="0" applyNumberFormat="1" applyFont="1" applyFill="1" applyBorder="1" applyAlignment="1">
      <alignment horizontal="center"/>
    </xf>
    <xf numFmtId="172" fontId="13" fillId="6" borderId="37" xfId="0" applyNumberFormat="1" applyFont="1" applyFill="1" applyBorder="1" applyAlignment="1">
      <alignment horizontal="center"/>
    </xf>
    <xf numFmtId="172" fontId="13" fillId="6" borderId="3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/>
    </xf>
    <xf numFmtId="0" fontId="13" fillId="6" borderId="28" xfId="0" applyFont="1" applyFill="1" applyBorder="1" applyAlignment="1">
      <alignment horizontal="center"/>
    </xf>
    <xf numFmtId="0" fontId="13" fillId="6" borderId="42" xfId="0" applyFont="1" applyFill="1" applyBorder="1" applyAlignment="1">
      <alignment horizontal="center"/>
    </xf>
    <xf numFmtId="0" fontId="13" fillId="6" borderId="2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172" fontId="1" fillId="0" borderId="43" xfId="0" applyNumberFormat="1" applyFont="1" applyFill="1" applyBorder="1" applyAlignment="1">
      <alignment horizontal="center"/>
    </xf>
    <xf numFmtId="172" fontId="1" fillId="0" borderId="46" xfId="0" applyNumberFormat="1" applyFont="1" applyFill="1" applyBorder="1" applyAlignment="1">
      <alignment horizontal="center"/>
    </xf>
    <xf numFmtId="172" fontId="1" fillId="0" borderId="44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/>
    </xf>
    <xf numFmtId="0" fontId="2" fillId="8" borderId="20" xfId="0" applyFont="1" applyFill="1" applyBorder="1" applyAlignment="1">
      <alignment horizontal="center"/>
    </xf>
    <xf numFmtId="0" fontId="2" fillId="8" borderId="28" xfId="0" applyFont="1" applyFill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172" fontId="1" fillId="0" borderId="45" xfId="0" applyNumberFormat="1" applyFont="1" applyFill="1" applyBorder="1" applyAlignment="1">
      <alignment horizontal="center"/>
    </xf>
    <xf numFmtId="172" fontId="1" fillId="0" borderId="47" xfId="0" applyNumberFormat="1" applyFont="1" applyFill="1" applyBorder="1" applyAlignment="1">
      <alignment horizontal="center"/>
    </xf>
    <xf numFmtId="208" fontId="1" fillId="0" borderId="36" xfId="0" applyNumberFormat="1" applyFont="1" applyFill="1" applyBorder="1" applyAlignment="1">
      <alignment horizontal="center"/>
    </xf>
    <xf numFmtId="208" fontId="1" fillId="0" borderId="22" xfId="0" applyNumberFormat="1" applyFont="1" applyFill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 vertical="center" wrapText="1"/>
    </xf>
    <xf numFmtId="0" fontId="13" fillId="4" borderId="20" xfId="0" applyFont="1" applyFill="1" applyBorder="1" applyAlignment="1">
      <alignment horizontal="center"/>
    </xf>
    <xf numFmtId="0" fontId="13" fillId="4" borderId="28" xfId="0" applyFont="1" applyFill="1" applyBorder="1" applyAlignment="1">
      <alignment horizontal="center"/>
    </xf>
    <xf numFmtId="0" fontId="13" fillId="4" borderId="60" xfId="0" applyFont="1" applyFill="1" applyBorder="1" applyAlignment="1">
      <alignment horizontal="center"/>
    </xf>
    <xf numFmtId="188" fontId="4" fillId="0" borderId="61" xfId="0" applyNumberFormat="1" applyFont="1" applyBorder="1" applyAlignment="1">
      <alignment horizontal="center" wrapText="1"/>
    </xf>
    <xf numFmtId="188" fontId="4" fillId="0" borderId="62" xfId="0" applyNumberFormat="1" applyFont="1" applyBorder="1" applyAlignment="1">
      <alignment horizontal="center" wrapText="1"/>
    </xf>
    <xf numFmtId="188" fontId="4" fillId="0" borderId="63" xfId="0" applyNumberFormat="1" applyFont="1" applyBorder="1" applyAlignment="1">
      <alignment horizontal="center" wrapText="1"/>
    </xf>
    <xf numFmtId="188" fontId="4" fillId="0" borderId="64" xfId="0" applyNumberFormat="1" applyFont="1" applyBorder="1" applyAlignment="1">
      <alignment horizontal="center" wrapText="1"/>
    </xf>
    <xf numFmtId="195" fontId="4" fillId="2" borderId="20" xfId="0" applyNumberFormat="1" applyFont="1" applyFill="1" applyBorder="1" applyAlignment="1" applyProtection="1">
      <alignment horizontal="center"/>
      <protection locked="0"/>
    </xf>
    <xf numFmtId="195" fontId="4" fillId="2" borderId="29" xfId="0" applyNumberFormat="1" applyFont="1" applyFill="1" applyBorder="1" applyAlignment="1" applyProtection="1">
      <alignment horizontal="center"/>
      <protection locked="0"/>
    </xf>
    <xf numFmtId="192" fontId="4" fillId="2" borderId="20" xfId="0" applyNumberFormat="1" applyFont="1" applyFill="1" applyBorder="1" applyAlignment="1" applyProtection="1">
      <alignment horizontal="center"/>
      <protection locked="0"/>
    </xf>
    <xf numFmtId="192" fontId="4" fillId="2" borderId="2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65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165" fontId="1" fillId="0" borderId="15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8">
    <dxf>
      <font>
        <b/>
        <i val="0"/>
        <color rgb="FFFF0000"/>
      </font>
      <border/>
    </dxf>
    <dxf>
      <font>
        <b val="0"/>
        <i val="0"/>
        <color rgb="FF0000FF"/>
      </font>
      <border/>
    </dxf>
    <dxf>
      <fill>
        <patternFill>
          <bgColor rgb="FFFFFF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ill>
        <patternFill>
          <bgColor rgb="FFCCFFCC"/>
        </patternFill>
      </fill>
      <border/>
    </dxf>
    <dxf>
      <font>
        <b/>
        <i val="0"/>
        <color auto="1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123825</xdr:colOff>
      <xdr:row>1</xdr:row>
      <xdr:rowOff>47625</xdr:rowOff>
    </xdr:from>
    <xdr:to>
      <xdr:col>35</xdr:col>
      <xdr:colOff>133350</xdr:colOff>
      <xdr:row>4</xdr:row>
      <xdr:rowOff>123825</xdr:rowOff>
    </xdr:to>
    <xdr:sp>
      <xdr:nvSpPr>
        <xdr:cNvPr id="1" name="Line 18"/>
        <xdr:cNvSpPr>
          <a:spLocks/>
        </xdr:cNvSpPr>
      </xdr:nvSpPr>
      <xdr:spPr>
        <a:xfrm>
          <a:off x="24612600" y="276225"/>
          <a:ext cx="9525" cy="4667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657225</xdr:colOff>
      <xdr:row>1</xdr:row>
      <xdr:rowOff>95250</xdr:rowOff>
    </xdr:from>
    <xdr:to>
      <xdr:col>33</xdr:col>
      <xdr:colOff>657225</xdr:colOff>
      <xdr:row>4</xdr:row>
      <xdr:rowOff>142875</xdr:rowOff>
    </xdr:to>
    <xdr:sp>
      <xdr:nvSpPr>
        <xdr:cNvPr id="2" name="Line 19"/>
        <xdr:cNvSpPr>
          <a:spLocks/>
        </xdr:cNvSpPr>
      </xdr:nvSpPr>
      <xdr:spPr>
        <a:xfrm>
          <a:off x="23736300" y="323850"/>
          <a:ext cx="0" cy="4381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419100</xdr:colOff>
      <xdr:row>0</xdr:row>
      <xdr:rowOff>47625</xdr:rowOff>
    </xdr:from>
    <xdr:to>
      <xdr:col>12</xdr:col>
      <xdr:colOff>781050</xdr:colOff>
      <xdr:row>3</xdr:row>
      <xdr:rowOff>28575</xdr:rowOff>
    </xdr:to>
    <xdr:pic>
      <xdr:nvPicPr>
        <xdr:cNvPr id="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47625"/>
          <a:ext cx="1143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381000</xdr:colOff>
      <xdr:row>37</xdr:row>
      <xdr:rowOff>85725</xdr:rowOff>
    </xdr:from>
    <xdr:to>
      <xdr:col>12</xdr:col>
      <xdr:colOff>742950</xdr:colOff>
      <xdr:row>39</xdr:row>
      <xdr:rowOff>95250</xdr:rowOff>
    </xdr:to>
    <xdr:pic>
      <xdr:nvPicPr>
        <xdr:cNvPr id="4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591300"/>
          <a:ext cx="1143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28</xdr:row>
      <xdr:rowOff>47625</xdr:rowOff>
    </xdr:from>
    <xdr:to>
      <xdr:col>12</xdr:col>
      <xdr:colOff>390525</xdr:colOff>
      <xdr:row>34</xdr:row>
      <xdr:rowOff>114300</xdr:rowOff>
    </xdr:to>
    <xdr:sp>
      <xdr:nvSpPr>
        <xdr:cNvPr id="5" name="Line 92"/>
        <xdr:cNvSpPr>
          <a:spLocks/>
        </xdr:cNvSpPr>
      </xdr:nvSpPr>
      <xdr:spPr>
        <a:xfrm flipV="1">
          <a:off x="8620125" y="5067300"/>
          <a:ext cx="0" cy="106680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34</xdr:row>
      <xdr:rowOff>95250</xdr:rowOff>
    </xdr:from>
    <xdr:to>
      <xdr:col>12</xdr:col>
      <xdr:colOff>409575</xdr:colOff>
      <xdr:row>34</xdr:row>
      <xdr:rowOff>95250</xdr:rowOff>
    </xdr:to>
    <xdr:sp>
      <xdr:nvSpPr>
        <xdr:cNvPr id="6" name="Line 93"/>
        <xdr:cNvSpPr>
          <a:spLocks/>
        </xdr:cNvSpPr>
      </xdr:nvSpPr>
      <xdr:spPr>
        <a:xfrm flipH="1">
          <a:off x="5876925" y="6115050"/>
          <a:ext cx="2762250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0</xdr:rowOff>
    </xdr:from>
    <xdr:to>
      <xdr:col>6</xdr:col>
      <xdr:colOff>828675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990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552450</xdr:colOff>
      <xdr:row>98</xdr:row>
      <xdr:rowOff>47625</xdr:rowOff>
    </xdr:from>
    <xdr:to>
      <xdr:col>11</xdr:col>
      <xdr:colOff>523875</xdr:colOff>
      <xdr:row>98</xdr:row>
      <xdr:rowOff>47625</xdr:rowOff>
    </xdr:to>
    <xdr:sp>
      <xdr:nvSpPr>
        <xdr:cNvPr id="2" name="Line 8"/>
        <xdr:cNvSpPr>
          <a:spLocks/>
        </xdr:cNvSpPr>
      </xdr:nvSpPr>
      <xdr:spPr>
        <a:xfrm>
          <a:off x="9153525" y="156876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97</xdr:row>
      <xdr:rowOff>47625</xdr:rowOff>
    </xdr:from>
    <xdr:to>
      <xdr:col>11</xdr:col>
      <xdr:colOff>523875</xdr:colOff>
      <xdr:row>97</xdr:row>
      <xdr:rowOff>47625</xdr:rowOff>
    </xdr:to>
    <xdr:sp>
      <xdr:nvSpPr>
        <xdr:cNvPr id="3" name="Line 9"/>
        <xdr:cNvSpPr>
          <a:spLocks/>
        </xdr:cNvSpPr>
      </xdr:nvSpPr>
      <xdr:spPr>
        <a:xfrm>
          <a:off x="9153525" y="1552575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49</xdr:row>
      <xdr:rowOff>85725</xdr:rowOff>
    </xdr:from>
    <xdr:to>
      <xdr:col>5</xdr:col>
      <xdr:colOff>800100</xdr:colOff>
      <xdr:row>49</xdr:row>
      <xdr:rowOff>85725</xdr:rowOff>
    </xdr:to>
    <xdr:sp>
      <xdr:nvSpPr>
        <xdr:cNvPr id="4" name="Line 10"/>
        <xdr:cNvSpPr>
          <a:spLocks/>
        </xdr:cNvSpPr>
      </xdr:nvSpPr>
      <xdr:spPr>
        <a:xfrm>
          <a:off x="4619625" y="79152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48</xdr:row>
      <xdr:rowOff>95250</xdr:rowOff>
    </xdr:from>
    <xdr:to>
      <xdr:col>5</xdr:col>
      <xdr:colOff>809625</xdr:colOff>
      <xdr:row>48</xdr:row>
      <xdr:rowOff>95250</xdr:rowOff>
    </xdr:to>
    <xdr:sp>
      <xdr:nvSpPr>
        <xdr:cNvPr id="5" name="Line 11"/>
        <xdr:cNvSpPr>
          <a:spLocks/>
        </xdr:cNvSpPr>
      </xdr:nvSpPr>
      <xdr:spPr>
        <a:xfrm>
          <a:off x="4629150" y="776287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37</xdr:row>
      <xdr:rowOff>85725</xdr:rowOff>
    </xdr:from>
    <xdr:to>
      <xdr:col>5</xdr:col>
      <xdr:colOff>800100</xdr:colOff>
      <xdr:row>37</xdr:row>
      <xdr:rowOff>85725</xdr:rowOff>
    </xdr:to>
    <xdr:sp>
      <xdr:nvSpPr>
        <xdr:cNvPr id="6" name="Line 13"/>
        <xdr:cNvSpPr>
          <a:spLocks/>
        </xdr:cNvSpPr>
      </xdr:nvSpPr>
      <xdr:spPr>
        <a:xfrm>
          <a:off x="4619625" y="617220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0</xdr:rowOff>
    </xdr:from>
    <xdr:to>
      <xdr:col>6</xdr:col>
      <xdr:colOff>828675</xdr:colOff>
      <xdr:row>1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9906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49</xdr:row>
      <xdr:rowOff>95250</xdr:rowOff>
    </xdr:from>
    <xdr:to>
      <xdr:col>5</xdr:col>
      <xdr:colOff>781050</xdr:colOff>
      <xdr:row>49</xdr:row>
      <xdr:rowOff>95250</xdr:rowOff>
    </xdr:to>
    <xdr:sp>
      <xdr:nvSpPr>
        <xdr:cNvPr id="2" name="Line 8"/>
        <xdr:cNvSpPr>
          <a:spLocks/>
        </xdr:cNvSpPr>
      </xdr:nvSpPr>
      <xdr:spPr>
        <a:xfrm>
          <a:off x="4600575" y="802005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95250</xdr:rowOff>
    </xdr:from>
    <xdr:to>
      <xdr:col>5</xdr:col>
      <xdr:colOff>781050</xdr:colOff>
      <xdr:row>48</xdr:row>
      <xdr:rowOff>95250</xdr:rowOff>
    </xdr:to>
    <xdr:sp>
      <xdr:nvSpPr>
        <xdr:cNvPr id="3" name="Line 9"/>
        <xdr:cNvSpPr>
          <a:spLocks/>
        </xdr:cNvSpPr>
      </xdr:nvSpPr>
      <xdr:spPr>
        <a:xfrm>
          <a:off x="4600575" y="7858125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76</xdr:row>
      <xdr:rowOff>9525</xdr:rowOff>
    </xdr:from>
    <xdr:to>
      <xdr:col>11</xdr:col>
      <xdr:colOff>542925</xdr:colOff>
      <xdr:row>76</xdr:row>
      <xdr:rowOff>9525</xdr:rowOff>
    </xdr:to>
    <xdr:sp>
      <xdr:nvSpPr>
        <xdr:cNvPr id="4" name="Line 15"/>
        <xdr:cNvSpPr>
          <a:spLocks/>
        </xdr:cNvSpPr>
      </xdr:nvSpPr>
      <xdr:spPr>
        <a:xfrm>
          <a:off x="9172575" y="1219200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76</xdr:row>
      <xdr:rowOff>9525</xdr:rowOff>
    </xdr:from>
    <xdr:to>
      <xdr:col>11</xdr:col>
      <xdr:colOff>542925</xdr:colOff>
      <xdr:row>76</xdr:row>
      <xdr:rowOff>9525</xdr:rowOff>
    </xdr:to>
    <xdr:sp>
      <xdr:nvSpPr>
        <xdr:cNvPr id="5" name="Line 16"/>
        <xdr:cNvSpPr>
          <a:spLocks/>
        </xdr:cNvSpPr>
      </xdr:nvSpPr>
      <xdr:spPr>
        <a:xfrm>
          <a:off x="9172575" y="1219200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76</xdr:row>
      <xdr:rowOff>9525</xdr:rowOff>
    </xdr:from>
    <xdr:to>
      <xdr:col>11</xdr:col>
      <xdr:colOff>542925</xdr:colOff>
      <xdr:row>76</xdr:row>
      <xdr:rowOff>9525</xdr:rowOff>
    </xdr:to>
    <xdr:sp>
      <xdr:nvSpPr>
        <xdr:cNvPr id="6" name="Line 17"/>
        <xdr:cNvSpPr>
          <a:spLocks/>
        </xdr:cNvSpPr>
      </xdr:nvSpPr>
      <xdr:spPr>
        <a:xfrm>
          <a:off x="9172575" y="1219200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76</xdr:row>
      <xdr:rowOff>9525</xdr:rowOff>
    </xdr:from>
    <xdr:to>
      <xdr:col>16</xdr:col>
      <xdr:colOff>19050</xdr:colOff>
      <xdr:row>76</xdr:row>
      <xdr:rowOff>9525</xdr:rowOff>
    </xdr:to>
    <xdr:sp>
      <xdr:nvSpPr>
        <xdr:cNvPr id="7" name="Line 18"/>
        <xdr:cNvSpPr>
          <a:spLocks/>
        </xdr:cNvSpPr>
      </xdr:nvSpPr>
      <xdr:spPr>
        <a:xfrm>
          <a:off x="12458700" y="12192000"/>
          <a:ext cx="7334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85725</xdr:rowOff>
    </xdr:from>
    <xdr:to>
      <xdr:col>5</xdr:col>
      <xdr:colOff>762000</xdr:colOff>
      <xdr:row>36</xdr:row>
      <xdr:rowOff>85725</xdr:rowOff>
    </xdr:to>
    <xdr:sp>
      <xdr:nvSpPr>
        <xdr:cNvPr id="8" name="Line 19"/>
        <xdr:cNvSpPr>
          <a:spLocks/>
        </xdr:cNvSpPr>
      </xdr:nvSpPr>
      <xdr:spPr>
        <a:xfrm>
          <a:off x="4619625" y="6105525"/>
          <a:ext cx="695325" cy="0"/>
        </a:xfrm>
        <a:prstGeom prst="line">
          <a:avLst/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showGridLines="0" tabSelected="1" workbookViewId="0" topLeftCell="A22">
      <selection activeCell="K43" sqref="K43"/>
    </sheetView>
  </sheetViews>
  <sheetFormatPr defaultColWidth="11.421875" defaultRowHeight="12.75"/>
  <cols>
    <col min="1" max="1" width="6.7109375" style="0" customWidth="1"/>
    <col min="2" max="3" width="11.7109375" style="0" customWidth="1"/>
    <col min="4" max="4" width="6.7109375" style="0" customWidth="1"/>
    <col min="5" max="5" width="6.00390625" style="0" customWidth="1"/>
    <col min="6" max="8" width="11.7109375" style="0" customWidth="1"/>
    <col min="9" max="9" width="11.28125" style="0" customWidth="1"/>
    <col min="10" max="10" width="10.7109375" style="0" customWidth="1"/>
    <col min="11" max="12" width="11.7109375" style="0" customWidth="1"/>
    <col min="13" max="13" width="12.57421875" style="0" customWidth="1"/>
    <col min="14" max="16" width="11.7109375" style="0" customWidth="1"/>
    <col min="17" max="21" width="12.421875" style="0" customWidth="1"/>
    <col min="22" max="23" width="3.8515625" style="0" customWidth="1"/>
    <col min="24" max="24" width="10.8515625" style="0" customWidth="1"/>
    <col min="25" max="25" width="12.421875" style="0" customWidth="1"/>
    <col min="26" max="26" width="11.7109375" style="0" customWidth="1"/>
    <col min="27" max="27" width="11.00390625" style="0" customWidth="1"/>
    <col min="28" max="29" width="9.7109375" style="0" customWidth="1"/>
    <col min="30" max="31" width="10.7109375" style="0" customWidth="1"/>
    <col min="32" max="33" width="9.140625" style="0" customWidth="1"/>
    <col min="34" max="34" width="10.7109375" style="0" customWidth="1"/>
    <col min="35" max="35" width="10.421875" style="0" customWidth="1"/>
    <col min="36" max="36" width="11.57421875" style="0" customWidth="1"/>
    <col min="37" max="37" width="12.00390625" style="0" customWidth="1"/>
    <col min="38" max="38" width="11.7109375" style="0" customWidth="1"/>
    <col min="39" max="39" width="8.7109375" style="0" customWidth="1"/>
    <col min="40" max="40" width="10.28125" style="0" customWidth="1"/>
    <col min="41" max="42" width="8.7109375" style="0" customWidth="1"/>
    <col min="43" max="45" width="9.00390625" style="0" customWidth="1"/>
    <col min="46" max="46" width="9.8515625" style="1" customWidth="1"/>
  </cols>
  <sheetData>
    <row r="1" spans="1:46" s="17" customFormat="1" ht="18" customHeight="1">
      <c r="A1" s="16" t="s">
        <v>173</v>
      </c>
      <c r="J1" s="255"/>
      <c r="AB1" s="245"/>
      <c r="AC1" s="245"/>
      <c r="AL1" s="18">
        <f ca="1">TODAY()</f>
        <v>42279</v>
      </c>
      <c r="AM1" s="18"/>
      <c r="AO1" s="22" t="s">
        <v>14</v>
      </c>
      <c r="AT1" s="19"/>
    </row>
    <row r="2" spans="1:46" s="24" customFormat="1" ht="13.5" customHeight="1">
      <c r="A2" s="23" t="s">
        <v>10</v>
      </c>
      <c r="C2" s="25"/>
      <c r="J2" s="254"/>
      <c r="Z2" s="171"/>
      <c r="AB2" s="171"/>
      <c r="AC2" s="171"/>
      <c r="AO2" s="26" t="s">
        <v>15</v>
      </c>
      <c r="AT2" s="27"/>
    </row>
    <row r="3" spans="1:46" s="7" customFormat="1" ht="3.75" customHeight="1">
      <c r="A3" s="208"/>
      <c r="B3" s="140"/>
      <c r="C3" s="140"/>
      <c r="D3" s="140"/>
      <c r="E3" s="140"/>
      <c r="F3" s="140"/>
      <c r="G3" s="140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40"/>
      <c r="AB3" s="246"/>
      <c r="AC3" s="246"/>
      <c r="AT3" s="8"/>
    </row>
    <row r="4" spans="1:46" s="7" customFormat="1" ht="13.5" customHeight="1">
      <c r="A4" s="133"/>
      <c r="B4" s="136" t="s">
        <v>3</v>
      </c>
      <c r="C4" s="399">
        <v>8</v>
      </c>
      <c r="D4" s="280">
        <f>C4*6.5</f>
        <v>52</v>
      </c>
      <c r="E4" s="14" t="s">
        <v>126</v>
      </c>
      <c r="F4" s="140"/>
      <c r="G4" s="140"/>
      <c r="I4" s="136" t="s">
        <v>127</v>
      </c>
      <c r="J4" s="403">
        <v>175</v>
      </c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40"/>
      <c r="AB4" s="246"/>
      <c r="AC4" s="246"/>
      <c r="AT4" s="8"/>
    </row>
    <row r="5" spans="1:46" s="14" customFormat="1" ht="13.5" customHeight="1">
      <c r="A5" s="133"/>
      <c r="B5" s="136" t="s">
        <v>4</v>
      </c>
      <c r="C5" s="400">
        <v>1000</v>
      </c>
      <c r="D5" s="256"/>
      <c r="E5" s="260"/>
      <c r="I5" s="136" t="s">
        <v>168</v>
      </c>
      <c r="J5" s="404">
        <v>30</v>
      </c>
      <c r="Q5" s="177"/>
      <c r="R5" s="177"/>
      <c r="S5" s="177"/>
      <c r="T5" s="177"/>
      <c r="U5" s="177"/>
      <c r="V5" s="177"/>
      <c r="W5" s="177"/>
      <c r="X5" s="177"/>
      <c r="Y5" s="190"/>
      <c r="Z5" s="136" t="s">
        <v>3</v>
      </c>
      <c r="AA5" s="134">
        <v>4.5</v>
      </c>
      <c r="AB5" s="247"/>
      <c r="AC5" s="247"/>
      <c r="AD5" s="135"/>
      <c r="AE5" s="135"/>
      <c r="AF5" s="135"/>
      <c r="AG5" s="135"/>
      <c r="AH5" s="135"/>
      <c r="AI5" s="133"/>
      <c r="AJ5" s="133"/>
      <c r="AK5" s="133"/>
      <c r="AL5" s="411"/>
      <c r="AM5" s="20"/>
      <c r="AT5" s="15"/>
    </row>
    <row r="6" spans="1:46" s="14" customFormat="1" ht="13.5" customHeight="1">
      <c r="A6" s="133"/>
      <c r="B6" s="136" t="s">
        <v>11</v>
      </c>
      <c r="C6" s="401">
        <v>2.2</v>
      </c>
      <c r="D6" s="133"/>
      <c r="E6" s="133"/>
      <c r="F6" s="260"/>
      <c r="G6" s="260"/>
      <c r="I6" s="136" t="s">
        <v>170</v>
      </c>
      <c r="J6" s="316">
        <f>J5*J4</f>
        <v>5250</v>
      </c>
      <c r="K6" s="256"/>
      <c r="M6" s="405" t="s">
        <v>129</v>
      </c>
      <c r="N6" s="390"/>
      <c r="O6" s="390"/>
      <c r="P6" s="390"/>
      <c r="Q6" s="190"/>
      <c r="R6" s="190"/>
      <c r="S6" s="190"/>
      <c r="T6" s="190" t="s">
        <v>14</v>
      </c>
      <c r="U6" s="365">
        <v>18000</v>
      </c>
      <c r="V6" s="14">
        <v>1</v>
      </c>
      <c r="W6" s="365"/>
      <c r="X6" s="357">
        <f aca="true" t="shared" si="0" ref="X6:X11">V6*U6</f>
        <v>18000</v>
      </c>
      <c r="Y6" s="358">
        <f aca="true" t="shared" si="1" ref="Y6:Y11">W6*U6</f>
        <v>0</v>
      </c>
      <c r="Z6" s="136" t="s">
        <v>5</v>
      </c>
      <c r="AA6" s="139">
        <f>AA5*C5</f>
        <v>4500</v>
      </c>
      <c r="AB6" s="172"/>
      <c r="AC6" s="172"/>
      <c r="AD6" s="133"/>
      <c r="AE6" s="133"/>
      <c r="AF6" s="133"/>
      <c r="AG6" s="133"/>
      <c r="AH6" s="133"/>
      <c r="AI6" s="133"/>
      <c r="AJ6" s="133"/>
      <c r="AK6" s="133"/>
      <c r="AL6" s="411"/>
      <c r="AM6" s="20"/>
      <c r="AT6" s="15"/>
    </row>
    <row r="7" spans="1:46" s="14" customFormat="1" ht="13.5" customHeight="1">
      <c r="A7" s="133"/>
      <c r="B7" s="136" t="s">
        <v>5</v>
      </c>
      <c r="C7" s="259">
        <f>C4*C5</f>
        <v>8000</v>
      </c>
      <c r="D7" s="151"/>
      <c r="E7" s="169"/>
      <c r="F7" s="133"/>
      <c r="G7" s="133"/>
      <c r="I7" s="136" t="s">
        <v>138</v>
      </c>
      <c r="J7" s="178">
        <f>J6*25%</f>
        <v>1312.5</v>
      </c>
      <c r="L7" s="133"/>
      <c r="M7" s="177" t="s">
        <v>163</v>
      </c>
      <c r="N7" s="391"/>
      <c r="O7" s="391"/>
      <c r="P7" s="391"/>
      <c r="Q7" s="190"/>
      <c r="R7" s="190"/>
      <c r="S7" s="190"/>
      <c r="T7" s="190" t="s">
        <v>158</v>
      </c>
      <c r="U7" s="362">
        <v>4000</v>
      </c>
      <c r="V7" s="14">
        <v>1</v>
      </c>
      <c r="W7" s="362">
        <v>1</v>
      </c>
      <c r="X7" s="357">
        <f t="shared" si="0"/>
        <v>4000</v>
      </c>
      <c r="Y7" s="358">
        <f t="shared" si="1"/>
        <v>4000</v>
      </c>
      <c r="Z7" s="252"/>
      <c r="AA7" s="133"/>
      <c r="AB7" s="172"/>
      <c r="AC7" s="172"/>
      <c r="AD7" s="133"/>
      <c r="AE7" s="133"/>
      <c r="AF7" s="133"/>
      <c r="AG7" s="133"/>
      <c r="AH7" s="133"/>
      <c r="AI7" s="136"/>
      <c r="AJ7" s="137"/>
      <c r="AK7" s="133"/>
      <c r="AL7" s="138"/>
      <c r="AM7" s="20"/>
      <c r="AO7" s="216">
        <v>0.6</v>
      </c>
      <c r="AP7" s="217" t="s">
        <v>108</v>
      </c>
      <c r="AT7" s="15"/>
    </row>
    <row r="8" spans="1:46" s="14" customFormat="1" ht="13.5" customHeight="1">
      <c r="A8" s="133"/>
      <c r="B8" s="136" t="s">
        <v>110</v>
      </c>
      <c r="C8" s="402">
        <v>3000</v>
      </c>
      <c r="D8" s="169"/>
      <c r="E8" s="169"/>
      <c r="F8" s="169"/>
      <c r="G8" s="169"/>
      <c r="I8" s="397" t="s">
        <v>171</v>
      </c>
      <c r="J8" s="398" t="s">
        <v>117</v>
      </c>
      <c r="L8" s="204" t="s">
        <v>97</v>
      </c>
      <c r="M8" s="406">
        <v>26</v>
      </c>
      <c r="N8" s="323"/>
      <c r="O8" s="323"/>
      <c r="P8" s="323"/>
      <c r="Q8" s="279"/>
      <c r="R8" s="279"/>
      <c r="S8" s="279"/>
      <c r="T8" s="190" t="s">
        <v>159</v>
      </c>
      <c r="U8" s="362">
        <f>C4*1800</f>
        <v>14400</v>
      </c>
      <c r="V8" s="14">
        <v>1</v>
      </c>
      <c r="W8" s="362"/>
      <c r="X8" s="357">
        <f t="shared" si="0"/>
        <v>14400</v>
      </c>
      <c r="Y8" s="358">
        <f t="shared" si="1"/>
        <v>0</v>
      </c>
      <c r="Z8" s="252"/>
      <c r="AA8" s="133"/>
      <c r="AB8" s="172"/>
      <c r="AD8" s="133"/>
      <c r="AE8" s="133"/>
      <c r="AF8" s="133"/>
      <c r="AG8" s="133"/>
      <c r="AH8" s="133"/>
      <c r="AI8" s="133"/>
      <c r="AJ8" s="133"/>
      <c r="AK8" s="133"/>
      <c r="AL8" s="133"/>
      <c r="AM8" s="172"/>
      <c r="AN8" s="133"/>
      <c r="AO8" s="216">
        <v>0.7</v>
      </c>
      <c r="AP8" s="218" t="s">
        <v>109</v>
      </c>
      <c r="AQ8" s="133"/>
      <c r="AR8" s="133"/>
      <c r="AS8" s="133"/>
      <c r="AT8" s="177"/>
    </row>
    <row r="9" spans="1:46" s="14" customFormat="1" ht="13.5" customHeight="1">
      <c r="A9" s="133"/>
      <c r="B9" s="136" t="s">
        <v>107</v>
      </c>
      <c r="C9" s="402" t="s">
        <v>117</v>
      </c>
      <c r="D9" s="169"/>
      <c r="E9" s="169"/>
      <c r="F9" s="169"/>
      <c r="G9" s="169"/>
      <c r="I9" s="136" t="s">
        <v>100</v>
      </c>
      <c r="J9" s="178">
        <f>IF(J8="ja",J4*12,0)</f>
        <v>2100</v>
      </c>
      <c r="K9" s="133"/>
      <c r="L9" s="136" t="s">
        <v>98</v>
      </c>
      <c r="M9" s="406">
        <v>22</v>
      </c>
      <c r="N9" s="323"/>
      <c r="O9" s="323"/>
      <c r="P9" s="323"/>
      <c r="Q9" s="231"/>
      <c r="R9" s="231"/>
      <c r="S9" s="231"/>
      <c r="T9" s="138" t="s">
        <v>160</v>
      </c>
      <c r="U9" s="366">
        <f>C44*1800</f>
        <v>8100</v>
      </c>
      <c r="W9" s="366">
        <v>1</v>
      </c>
      <c r="X9" s="357">
        <f t="shared" si="0"/>
        <v>0</v>
      </c>
      <c r="Y9" s="358">
        <f t="shared" si="1"/>
        <v>8100</v>
      </c>
      <c r="Z9" s="136"/>
      <c r="AA9" s="133"/>
      <c r="AB9" s="169"/>
      <c r="AD9" s="133"/>
      <c r="AE9" s="133"/>
      <c r="AF9" s="133"/>
      <c r="AG9" s="133"/>
      <c r="AH9" s="133"/>
      <c r="AI9" s="133"/>
      <c r="AJ9" s="133"/>
      <c r="AK9" s="133"/>
      <c r="AL9" s="133"/>
      <c r="AM9" s="172"/>
      <c r="AN9" s="133"/>
      <c r="AP9" s="133"/>
      <c r="AQ9" s="133"/>
      <c r="AR9" s="133"/>
      <c r="AS9" s="396"/>
      <c r="AT9" s="177"/>
    </row>
    <row r="10" spans="1:46" s="14" customFormat="1" ht="13.5" customHeight="1">
      <c r="A10" s="172"/>
      <c r="B10" s="203" t="s">
        <v>104</v>
      </c>
      <c r="C10" s="331">
        <f>IF(C9="ja",60%,70%)</f>
        <v>0.6</v>
      </c>
      <c r="D10" s="219" t="str">
        <f>IF(C10=60%,"mit Stromspeicher",IF(C10=70%,"ohne Stromspeicher, nur PV"))</f>
        <v>mit Stromspeicher</v>
      </c>
      <c r="E10" s="219"/>
      <c r="F10" s="169"/>
      <c r="G10" s="169"/>
      <c r="I10" s="136" t="s">
        <v>128</v>
      </c>
      <c r="J10" s="292">
        <f>J4*12.5</f>
        <v>2187.5</v>
      </c>
      <c r="K10" s="133"/>
      <c r="L10" s="136" t="s">
        <v>35</v>
      </c>
      <c r="M10" s="406">
        <v>12</v>
      </c>
      <c r="N10" s="323"/>
      <c r="O10" s="323"/>
      <c r="P10" s="323"/>
      <c r="Q10" s="231"/>
      <c r="R10" s="231"/>
      <c r="S10" s="231"/>
      <c r="T10" s="138" t="s">
        <v>116</v>
      </c>
      <c r="U10" s="366">
        <v>13000</v>
      </c>
      <c r="V10" s="14">
        <v>1</v>
      </c>
      <c r="W10" s="366">
        <v>1</v>
      </c>
      <c r="X10" s="357">
        <f t="shared" si="0"/>
        <v>13000</v>
      </c>
      <c r="Y10" s="358">
        <f t="shared" si="1"/>
        <v>13000</v>
      </c>
      <c r="Z10" s="374" t="s">
        <v>28</v>
      </c>
      <c r="AA10" s="299"/>
      <c r="AB10" s="172"/>
      <c r="AD10" s="133"/>
      <c r="AE10" s="133"/>
      <c r="AF10" s="133"/>
      <c r="AG10" s="133"/>
      <c r="AH10" s="133"/>
      <c r="AI10" s="133"/>
      <c r="AJ10" s="133"/>
      <c r="AK10" s="133"/>
      <c r="AL10" s="133"/>
      <c r="AM10" s="172"/>
      <c r="AN10" s="133"/>
      <c r="AP10" s="133"/>
      <c r="AQ10" s="133"/>
      <c r="AR10" s="133"/>
      <c r="AS10" s="416" t="s">
        <v>167</v>
      </c>
      <c r="AT10" s="177"/>
    </row>
    <row r="11" spans="6:46" ht="13.5" customHeight="1">
      <c r="F11" s="219"/>
      <c r="G11" s="219"/>
      <c r="H11" s="14"/>
      <c r="I11" s="136" t="s">
        <v>172</v>
      </c>
      <c r="J11" s="407">
        <f>J6+wärmebedarf+Warmwasserbedarf-WRG_aus_Lüftung</f>
        <v>6650</v>
      </c>
      <c r="K11" s="423"/>
      <c r="L11" s="423"/>
      <c r="M11" s="394"/>
      <c r="N11" s="322"/>
      <c r="O11" s="322"/>
      <c r="P11" s="322"/>
      <c r="Q11" s="202"/>
      <c r="R11" s="202"/>
      <c r="S11" s="202"/>
      <c r="T11" s="202" t="s">
        <v>161</v>
      </c>
      <c r="U11" s="363">
        <v>12000</v>
      </c>
      <c r="V11" s="363"/>
      <c r="W11" s="363">
        <v>1</v>
      </c>
      <c r="X11" s="357">
        <f t="shared" si="0"/>
        <v>0</v>
      </c>
      <c r="Y11" s="358">
        <f t="shared" si="1"/>
        <v>12000</v>
      </c>
      <c r="Z11" s="372" t="s">
        <v>59</v>
      </c>
      <c r="AA11" s="373"/>
      <c r="AB11" s="179"/>
      <c r="AD11" s="140"/>
      <c r="AE11" s="186" t="s">
        <v>117</v>
      </c>
      <c r="AF11" s="140"/>
      <c r="AG11" s="140"/>
      <c r="AH11" s="140"/>
      <c r="AI11" s="155" t="s">
        <v>8</v>
      </c>
      <c r="AJ11" s="153"/>
      <c r="AK11" s="154"/>
      <c r="AL11" s="140"/>
      <c r="AM11" s="179"/>
      <c r="AN11" s="140"/>
      <c r="AP11" s="140"/>
      <c r="AQ11" s="140"/>
      <c r="AR11" s="186"/>
      <c r="AS11" s="416"/>
      <c r="AT11" s="416" t="s">
        <v>2</v>
      </c>
    </row>
    <row r="12" spans="1:47" ht="12.75" customHeight="1" thickBot="1">
      <c r="A12" s="412" t="s">
        <v>96</v>
      </c>
      <c r="B12" s="413"/>
      <c r="C12" s="413"/>
      <c r="D12" s="413"/>
      <c r="E12" s="413"/>
      <c r="F12" s="413"/>
      <c r="G12" s="413"/>
      <c r="H12" s="413"/>
      <c r="I12" s="414"/>
      <c r="J12" s="413"/>
      <c r="K12" s="413"/>
      <c r="L12" s="413"/>
      <c r="M12" s="415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253"/>
      <c r="Y12" s="179"/>
      <c r="Z12" s="353" t="s">
        <v>103</v>
      </c>
      <c r="AB12" s="248"/>
      <c r="AC12" s="248"/>
      <c r="AD12" s="140"/>
      <c r="AE12" s="186" t="s">
        <v>118</v>
      </c>
      <c r="AF12" s="192"/>
      <c r="AG12" s="180"/>
      <c r="AH12" s="180"/>
      <c r="AI12" s="220"/>
      <c r="AJ12" s="144" t="s">
        <v>12</v>
      </c>
      <c r="AK12" s="144" t="s">
        <v>9</v>
      </c>
      <c r="AL12" s="143" t="s">
        <v>13</v>
      </c>
      <c r="AM12" s="140"/>
      <c r="AN12" s="140"/>
      <c r="AO12" s="181"/>
      <c r="AP12" s="2"/>
      <c r="AQ12" s="186" t="s">
        <v>1</v>
      </c>
      <c r="AR12" s="140"/>
      <c r="AS12" s="416"/>
      <c r="AT12" s="416"/>
      <c r="AU12" s="140"/>
    </row>
    <row r="13" spans="1:47" ht="36.75" customHeight="1">
      <c r="A13" s="141" t="s">
        <v>0</v>
      </c>
      <c r="B13" s="142" t="s">
        <v>121</v>
      </c>
      <c r="C13" s="258" t="s">
        <v>120</v>
      </c>
      <c r="D13" s="417" t="s">
        <v>105</v>
      </c>
      <c r="E13" s="418"/>
      <c r="F13" s="257" t="s">
        <v>162</v>
      </c>
      <c r="G13" s="249" t="s">
        <v>122</v>
      </c>
      <c r="H13" s="261" t="s">
        <v>7</v>
      </c>
      <c r="I13" s="270" t="s">
        <v>94</v>
      </c>
      <c r="J13" s="261" t="s">
        <v>95</v>
      </c>
      <c r="K13" s="142" t="s">
        <v>119</v>
      </c>
      <c r="L13" s="265" t="s">
        <v>114</v>
      </c>
      <c r="M13" s="376" t="s">
        <v>111</v>
      </c>
      <c r="N13" s="392"/>
      <c r="O13" s="248"/>
      <c r="P13" s="248"/>
      <c r="Q13" s="354"/>
      <c r="R13" s="354"/>
      <c r="S13" s="354"/>
      <c r="T13" s="354"/>
      <c r="U13" s="354"/>
      <c r="V13" s="354"/>
      <c r="W13" s="354"/>
      <c r="X13" s="364"/>
      <c r="Y13" s="354"/>
      <c r="Z13" s="143" t="s">
        <v>102</v>
      </c>
      <c r="AA13" s="205" t="s">
        <v>115</v>
      </c>
      <c r="AB13" s="243"/>
      <c r="AC13" s="243"/>
      <c r="AD13" s="140"/>
      <c r="AE13" s="186"/>
      <c r="AF13" s="192"/>
      <c r="AG13" s="180"/>
      <c r="AH13" s="180"/>
      <c r="AI13" s="223">
        <f>IF(AD14&gt;=0,AD14*AG14,0)</f>
        <v>0</v>
      </c>
      <c r="AJ13" s="156">
        <f>(I14*H14)</f>
        <v>227.59625</v>
      </c>
      <c r="AK13" s="146">
        <f aca="true" t="shared" si="2" ref="AK13:AK24">Warmwasserbedarf/12</f>
        <v>182.29166666666666</v>
      </c>
      <c r="AL13" s="147">
        <f>AJ13+AK13</f>
        <v>409.8879166666667</v>
      </c>
      <c r="AM13" s="184">
        <f aca="true" t="shared" si="3" ref="AM13:AM24">C14/L14</f>
        <v>0.23444155132246128</v>
      </c>
      <c r="AN13" s="182">
        <f aca="true" t="shared" si="4" ref="AN13:AN24">C14-J14</f>
        <v>-75.60000000000002</v>
      </c>
      <c r="AO13" s="185">
        <f aca="true" t="shared" si="5" ref="AO13:AO26">AL13-AJ13</f>
        <v>182.29166666666669</v>
      </c>
      <c r="AQ13" s="186">
        <v>31</v>
      </c>
      <c r="AR13" s="140">
        <v>190</v>
      </c>
      <c r="AS13" s="183">
        <f aca="true" t="shared" si="6" ref="AS13:AS24">AR13/kwh_a_allgemein</f>
        <v>0.02435897435897436</v>
      </c>
      <c r="AT13" s="187">
        <v>0.09</v>
      </c>
      <c r="AU13" s="140"/>
    </row>
    <row r="14" spans="1:47" ht="13.5" customHeight="1">
      <c r="A14" s="281">
        <v>1</v>
      </c>
      <c r="B14" s="162">
        <v>0.0243</v>
      </c>
      <c r="C14" s="250">
        <f aca="true" t="shared" si="7" ref="C14:C25">kwh_a*B14</f>
        <v>194.39999999999998</v>
      </c>
      <c r="D14" s="419">
        <f>IF(AH14&gt;=0,AH14,0)</f>
        <v>0</v>
      </c>
      <c r="E14" s="420"/>
      <c r="F14" s="163">
        <f aca="true" t="shared" si="8" ref="F14:F25">C14-D14</f>
        <v>194.39999999999998</v>
      </c>
      <c r="G14" s="250">
        <f>IF(C14&gt;=L14,(C14-L14)*Wirkleistungsbegrenzung,0)</f>
        <v>0</v>
      </c>
      <c r="H14" s="262">
        <v>0.185</v>
      </c>
      <c r="I14" s="271">
        <f aca="true" t="shared" si="9" ref="I14:I25">Gesamtwärmebedarf*H14</f>
        <v>1230.25</v>
      </c>
      <c r="J14" s="266">
        <f aca="true" t="shared" si="10" ref="J14:J25">strom_haushalt*AT13</f>
        <v>270</v>
      </c>
      <c r="K14" s="145">
        <f aca="true" t="shared" si="11" ref="K14:K25">I14/Jahresarbeitszahl_Wärmepumpe</f>
        <v>559.2045454545454</v>
      </c>
      <c r="L14" s="250">
        <f>J14+K14</f>
        <v>829.2045454545454</v>
      </c>
      <c r="M14" s="408">
        <f aca="true" t="shared" si="12" ref="M14:M25">IF(F14-J14&gt;=K14,K14,0)</f>
        <v>0</v>
      </c>
      <c r="N14" s="228"/>
      <c r="O14" s="173"/>
      <c r="P14" s="173"/>
      <c r="Q14" s="173"/>
      <c r="R14" s="173"/>
      <c r="S14" s="173"/>
      <c r="T14" s="173"/>
      <c r="U14" s="173"/>
      <c r="V14" s="173"/>
      <c r="W14" s="173"/>
      <c r="X14" s="318">
        <v>20</v>
      </c>
      <c r="Y14" s="173"/>
      <c r="Z14" s="195">
        <f>AG14</f>
        <v>0.0399</v>
      </c>
      <c r="AA14" s="206">
        <f aca="true" t="shared" si="13" ref="AA14:AA25">Solarertrag_CPC*Z14</f>
        <v>249.375</v>
      </c>
      <c r="AB14" s="243">
        <f aca="true" t="shared" si="14" ref="AB14:AB25">IF(C14&gt;=L14,(C14-L14)*Wirkleistungsbegrenzung,0)</f>
        <v>0</v>
      </c>
      <c r="AC14" s="243"/>
      <c r="AD14" s="182">
        <f aca="true" t="shared" si="15" ref="AD14:AD25">C14-J14</f>
        <v>-75.60000000000002</v>
      </c>
      <c r="AE14" s="183">
        <f aca="true" t="shared" si="16" ref="AE14:AE25">AD14/pv_strom</f>
        <v>-0.009450000000000002</v>
      </c>
      <c r="AF14" s="192">
        <f aca="true" t="shared" si="17" ref="AF14:AF25">Solarertrag_CPC*AG14</f>
        <v>249.375</v>
      </c>
      <c r="AG14" s="183">
        <v>0.0399</v>
      </c>
      <c r="AH14" s="215">
        <f aca="true" t="shared" si="18" ref="AH14:AH25">(C14-L14)*(100%-Wirkleistungsbegrenzung)</f>
        <v>-253.92181818181817</v>
      </c>
      <c r="AI14" s="223">
        <f aca="true" t="shared" si="19" ref="AI14:AI24">IF(AD15&gt;=0,AD15*AG15,0)</f>
        <v>5.285199999999999</v>
      </c>
      <c r="AJ14" s="156">
        <f aca="true" t="shared" si="20" ref="AJ14:AJ24">(I15*H15)</f>
        <v>155.66985</v>
      </c>
      <c r="AK14" s="146">
        <f t="shared" si="2"/>
        <v>182.29166666666666</v>
      </c>
      <c r="AL14" s="149">
        <f aca="true" t="shared" si="21" ref="AL14:AL24">AJ14+AK14</f>
        <v>337.9615166666666</v>
      </c>
      <c r="AM14" s="184">
        <f t="shared" si="3"/>
        <v>0.45715733789477025</v>
      </c>
      <c r="AN14" s="182">
        <f t="shared" si="4"/>
        <v>72.99999999999997</v>
      </c>
      <c r="AO14" s="185">
        <f t="shared" si="5"/>
        <v>182.29166666666663</v>
      </c>
      <c r="AQ14" s="186">
        <v>28</v>
      </c>
      <c r="AR14" s="140">
        <v>320</v>
      </c>
      <c r="AS14" s="183">
        <f t="shared" si="6"/>
        <v>0.041025641025641026</v>
      </c>
      <c r="AT14" s="187">
        <v>0.085</v>
      </c>
      <c r="AU14" s="140"/>
    </row>
    <row r="15" spans="1:47" ht="13.5" customHeight="1">
      <c r="A15" s="276">
        <v>2</v>
      </c>
      <c r="B15" s="164">
        <v>0.041</v>
      </c>
      <c r="C15" s="251">
        <f t="shared" si="7"/>
        <v>328</v>
      </c>
      <c r="D15" s="421">
        <f aca="true" t="shared" si="22" ref="D15:D25">IF(AH15&gt;=0,AH15,0)</f>
        <v>0</v>
      </c>
      <c r="E15" s="422"/>
      <c r="F15" s="165">
        <f t="shared" si="8"/>
        <v>328</v>
      </c>
      <c r="G15" s="251">
        <f>IF(C15&gt;=L15,(C15-L15)*Wirkleistungsbegrenzung,0)</f>
        <v>0</v>
      </c>
      <c r="H15" s="263">
        <v>0.153</v>
      </c>
      <c r="I15" s="272">
        <f t="shared" si="9"/>
        <v>1017.4499999999999</v>
      </c>
      <c r="J15" s="267">
        <f t="shared" si="10"/>
        <v>255.00000000000003</v>
      </c>
      <c r="K15" s="148">
        <f t="shared" si="11"/>
        <v>462.47727272727263</v>
      </c>
      <c r="L15" s="251">
        <f aca="true" t="shared" si="23" ref="L15:L25">J15+K15</f>
        <v>717.4772727272726</v>
      </c>
      <c r="M15" s="408">
        <f t="shared" si="12"/>
        <v>0</v>
      </c>
      <c r="N15" s="228"/>
      <c r="O15" s="173"/>
      <c r="P15" s="173"/>
      <c r="Q15" s="173"/>
      <c r="R15" s="173"/>
      <c r="S15" s="173"/>
      <c r="T15" s="173"/>
      <c r="U15" s="173"/>
      <c r="V15" s="173"/>
      <c r="W15" s="173"/>
      <c r="X15" s="317">
        <v>30</v>
      </c>
      <c r="Y15" s="173"/>
      <c r="Z15" s="196">
        <f>AG15</f>
        <v>0.0724</v>
      </c>
      <c r="AA15" s="207">
        <f t="shared" si="13"/>
        <v>452.50000000000006</v>
      </c>
      <c r="AB15" s="243">
        <f t="shared" si="14"/>
        <v>0</v>
      </c>
      <c r="AC15" s="243"/>
      <c r="AD15" s="182">
        <f t="shared" si="15"/>
        <v>72.99999999999997</v>
      </c>
      <c r="AE15" s="183">
        <f t="shared" si="16"/>
        <v>0.009124999999999996</v>
      </c>
      <c r="AF15" s="192">
        <f t="shared" si="17"/>
        <v>452.50000000000006</v>
      </c>
      <c r="AG15" s="183">
        <v>0.0724</v>
      </c>
      <c r="AH15" s="215">
        <f t="shared" si="18"/>
        <v>-155.79090909090905</v>
      </c>
      <c r="AI15" s="223">
        <f t="shared" si="19"/>
        <v>38.1744</v>
      </c>
      <c r="AJ15" s="156">
        <f t="shared" si="20"/>
        <v>42.56</v>
      </c>
      <c r="AK15" s="146">
        <f t="shared" si="2"/>
        <v>182.29166666666666</v>
      </c>
      <c r="AL15" s="149">
        <f t="shared" si="21"/>
        <v>224.85166666666666</v>
      </c>
      <c r="AM15" s="184">
        <f t="shared" si="3"/>
        <v>1.32</v>
      </c>
      <c r="AN15" s="182">
        <f t="shared" si="4"/>
        <v>396</v>
      </c>
      <c r="AO15" s="185">
        <f t="shared" si="5"/>
        <v>182.29166666666666</v>
      </c>
      <c r="AQ15" s="186">
        <v>31</v>
      </c>
      <c r="AR15" s="140">
        <v>620</v>
      </c>
      <c r="AS15" s="183">
        <f t="shared" si="6"/>
        <v>0.07948717948717948</v>
      </c>
      <c r="AT15" s="187">
        <v>0.08</v>
      </c>
      <c r="AU15" s="140"/>
    </row>
    <row r="16" spans="1:47" ht="13.5" customHeight="1">
      <c r="A16" s="276">
        <v>3</v>
      </c>
      <c r="B16" s="164">
        <v>0.0795</v>
      </c>
      <c r="C16" s="251">
        <f t="shared" si="7"/>
        <v>636</v>
      </c>
      <c r="D16" s="421">
        <f t="shared" si="22"/>
        <v>61.6727272727273</v>
      </c>
      <c r="E16" s="422"/>
      <c r="F16" s="165">
        <f t="shared" si="8"/>
        <v>574.3272727272727</v>
      </c>
      <c r="G16" s="251">
        <f>IF(C16&gt;=L16,(C16-L16-D16),0)</f>
        <v>92.50909090909094</v>
      </c>
      <c r="H16" s="263">
        <v>0.08</v>
      </c>
      <c r="I16" s="272">
        <f t="shared" si="9"/>
        <v>532</v>
      </c>
      <c r="J16" s="267">
        <f t="shared" si="10"/>
        <v>240</v>
      </c>
      <c r="K16" s="148">
        <f t="shared" si="11"/>
        <v>241.81818181818178</v>
      </c>
      <c r="L16" s="251">
        <f t="shared" si="23"/>
        <v>481.81818181818176</v>
      </c>
      <c r="M16" s="408">
        <f t="shared" si="12"/>
        <v>241.81818181818178</v>
      </c>
      <c r="N16" s="228"/>
      <c r="O16" s="173"/>
      <c r="P16" s="173"/>
      <c r="Q16" s="173"/>
      <c r="R16" s="173"/>
      <c r="S16" s="173"/>
      <c r="T16" s="173"/>
      <c r="U16" s="173"/>
      <c r="V16" s="173"/>
      <c r="W16" s="173"/>
      <c r="X16" s="318">
        <v>42</v>
      </c>
      <c r="Y16" s="173"/>
      <c r="Z16" s="196">
        <f aca="true" t="shared" si="24" ref="Z16:Z25">AG16</f>
        <v>0.0964</v>
      </c>
      <c r="AA16" s="207">
        <f t="shared" si="13"/>
        <v>602.5</v>
      </c>
      <c r="AB16" s="243">
        <f t="shared" si="14"/>
        <v>92.50909090909094</v>
      </c>
      <c r="AC16" s="243"/>
      <c r="AD16" s="182">
        <f t="shared" si="15"/>
        <v>396</v>
      </c>
      <c r="AE16" s="183">
        <f t="shared" si="16"/>
        <v>0.049499999999999995</v>
      </c>
      <c r="AF16" s="192">
        <f t="shared" si="17"/>
        <v>602.5</v>
      </c>
      <c r="AG16" s="183">
        <v>0.0964</v>
      </c>
      <c r="AH16" s="215">
        <f t="shared" si="18"/>
        <v>61.6727272727273</v>
      </c>
      <c r="AI16" s="223">
        <f t="shared" si="19"/>
        <v>77.23743999999999</v>
      </c>
      <c r="AJ16" s="156">
        <f t="shared" si="20"/>
        <v>11.7306</v>
      </c>
      <c r="AK16" s="146">
        <f t="shared" si="2"/>
        <v>182.29166666666666</v>
      </c>
      <c r="AL16" s="149">
        <f t="shared" si="21"/>
        <v>194.02226666666667</v>
      </c>
      <c r="AM16" s="184">
        <f t="shared" si="3"/>
        <v>2.4875015483711134</v>
      </c>
      <c r="AN16" s="182">
        <f t="shared" si="4"/>
        <v>672.8</v>
      </c>
      <c r="AO16" s="185">
        <f t="shared" si="5"/>
        <v>182.29166666666666</v>
      </c>
      <c r="AQ16" s="186">
        <v>30</v>
      </c>
      <c r="AR16" s="140">
        <v>890</v>
      </c>
      <c r="AS16" s="183">
        <f t="shared" si="6"/>
        <v>0.1141025641025641</v>
      </c>
      <c r="AT16" s="187">
        <v>0.08</v>
      </c>
      <c r="AU16" s="140"/>
    </row>
    <row r="17" spans="1:47" ht="13.5" customHeight="1">
      <c r="A17" s="276">
        <v>4</v>
      </c>
      <c r="B17" s="164">
        <v>0.1141</v>
      </c>
      <c r="C17" s="251">
        <f t="shared" si="7"/>
        <v>912.8</v>
      </c>
      <c r="D17" s="421">
        <f t="shared" si="22"/>
        <v>218.3381818181818</v>
      </c>
      <c r="E17" s="422"/>
      <c r="F17" s="165">
        <f t="shared" si="8"/>
        <v>694.4618181818182</v>
      </c>
      <c r="G17" s="251">
        <f>IF(C17&gt;=L17,(C17-L17-D17),0)</f>
        <v>327.50727272727266</v>
      </c>
      <c r="H17" s="263">
        <v>0.042</v>
      </c>
      <c r="I17" s="272">
        <f t="shared" si="9"/>
        <v>279.3</v>
      </c>
      <c r="J17" s="267">
        <f t="shared" si="10"/>
        <v>240</v>
      </c>
      <c r="K17" s="148">
        <f t="shared" si="11"/>
        <v>126.95454545454545</v>
      </c>
      <c r="L17" s="251">
        <f t="shared" si="23"/>
        <v>366.95454545454544</v>
      </c>
      <c r="M17" s="408">
        <f t="shared" si="12"/>
        <v>126.95454545454545</v>
      </c>
      <c r="N17" s="228"/>
      <c r="O17" s="173"/>
      <c r="P17" s="173"/>
      <c r="Q17" s="173"/>
      <c r="R17" s="173"/>
      <c r="S17" s="173"/>
      <c r="T17" s="173"/>
      <c r="U17" s="173"/>
      <c r="V17" s="173"/>
      <c r="W17" s="173"/>
      <c r="X17" s="319">
        <v>50</v>
      </c>
      <c r="Y17" s="173"/>
      <c r="Z17" s="196">
        <f t="shared" si="24"/>
        <v>0.1148</v>
      </c>
      <c r="AA17" s="207">
        <f t="shared" si="13"/>
        <v>717.5</v>
      </c>
      <c r="AB17" s="243">
        <f t="shared" si="14"/>
        <v>327.50727272727266</v>
      </c>
      <c r="AC17" s="243"/>
      <c r="AD17" s="182">
        <f t="shared" si="15"/>
        <v>672.8</v>
      </c>
      <c r="AE17" s="183">
        <f t="shared" si="16"/>
        <v>0.08409999999999998</v>
      </c>
      <c r="AF17" s="192">
        <f t="shared" si="17"/>
        <v>717.5</v>
      </c>
      <c r="AG17" s="183">
        <v>0.1148</v>
      </c>
      <c r="AH17" s="215">
        <f t="shared" si="18"/>
        <v>218.3381818181818</v>
      </c>
      <c r="AI17" s="223">
        <f t="shared" si="19"/>
        <v>104.2512</v>
      </c>
      <c r="AJ17" s="156">
        <f t="shared" si="20"/>
        <v>4.15625</v>
      </c>
      <c r="AK17" s="146">
        <f t="shared" si="2"/>
        <v>182.29166666666666</v>
      </c>
      <c r="AL17" s="149">
        <f t="shared" si="21"/>
        <v>186.44791666666666</v>
      </c>
      <c r="AM17" s="184">
        <f t="shared" si="3"/>
        <v>3.574504861361181</v>
      </c>
      <c r="AN17" s="182">
        <f t="shared" si="4"/>
        <v>888</v>
      </c>
      <c r="AO17" s="185">
        <f t="shared" si="5"/>
        <v>182.29166666666666</v>
      </c>
      <c r="AQ17" s="186">
        <v>31</v>
      </c>
      <c r="AR17" s="140">
        <v>1100</v>
      </c>
      <c r="AS17" s="183">
        <f t="shared" si="6"/>
        <v>0.14102564102564102</v>
      </c>
      <c r="AT17" s="187">
        <v>0.08</v>
      </c>
      <c r="AU17" s="140"/>
    </row>
    <row r="18" spans="1:47" ht="13.5" customHeight="1">
      <c r="A18" s="276">
        <v>5</v>
      </c>
      <c r="B18" s="164">
        <v>0.141</v>
      </c>
      <c r="C18" s="251">
        <f t="shared" si="7"/>
        <v>1128</v>
      </c>
      <c r="D18" s="421">
        <f t="shared" si="22"/>
        <v>324.9727272727273</v>
      </c>
      <c r="E18" s="422"/>
      <c r="F18" s="165">
        <f t="shared" si="8"/>
        <v>803.0272727272727</v>
      </c>
      <c r="G18" s="251">
        <f aca="true" t="shared" si="25" ref="G18:G25">IF(C18&gt;=L18,(C18-L18-D18),0)</f>
        <v>487.45909090909095</v>
      </c>
      <c r="H18" s="263">
        <v>0.025</v>
      </c>
      <c r="I18" s="272">
        <f t="shared" si="9"/>
        <v>166.25</v>
      </c>
      <c r="J18" s="267">
        <f t="shared" si="10"/>
        <v>240</v>
      </c>
      <c r="K18" s="148">
        <f t="shared" si="11"/>
        <v>75.56818181818181</v>
      </c>
      <c r="L18" s="251">
        <f t="shared" si="23"/>
        <v>315.5681818181818</v>
      </c>
      <c r="M18" s="408">
        <f t="shared" si="12"/>
        <v>75.56818181818181</v>
      </c>
      <c r="N18" s="228"/>
      <c r="O18" s="173"/>
      <c r="P18" s="173"/>
      <c r="Q18" s="173"/>
      <c r="R18" s="173"/>
      <c r="S18" s="173"/>
      <c r="T18" s="173"/>
      <c r="U18" s="173"/>
      <c r="V18" s="173"/>
      <c r="W18" s="173"/>
      <c r="X18" s="319">
        <v>75</v>
      </c>
      <c r="Y18" s="173"/>
      <c r="Z18" s="196">
        <f t="shared" si="24"/>
        <v>0.1174</v>
      </c>
      <c r="AA18" s="207">
        <f t="shared" si="13"/>
        <v>733.75</v>
      </c>
      <c r="AB18" s="243">
        <f t="shared" si="14"/>
        <v>487.45909090909095</v>
      </c>
      <c r="AC18" s="243"/>
      <c r="AD18" s="182">
        <f t="shared" si="15"/>
        <v>888</v>
      </c>
      <c r="AE18" s="183">
        <f t="shared" si="16"/>
        <v>0.11099999999999999</v>
      </c>
      <c r="AF18" s="192">
        <f t="shared" si="17"/>
        <v>733.75</v>
      </c>
      <c r="AG18" s="183">
        <v>0.1174</v>
      </c>
      <c r="AH18" s="215">
        <f t="shared" si="18"/>
        <v>324.9727272727273</v>
      </c>
      <c r="AI18" s="223">
        <f t="shared" si="19"/>
        <v>90.7724</v>
      </c>
      <c r="AJ18" s="156">
        <f t="shared" si="20"/>
        <v>4.15625</v>
      </c>
      <c r="AK18" s="146">
        <f t="shared" si="2"/>
        <v>182.29166666666666</v>
      </c>
      <c r="AL18" s="149">
        <f t="shared" si="21"/>
        <v>186.44791666666666</v>
      </c>
      <c r="AM18" s="184">
        <f t="shared" si="3"/>
        <v>3.6863516068052933</v>
      </c>
      <c r="AN18" s="182">
        <f t="shared" si="4"/>
        <v>883</v>
      </c>
      <c r="AO18" s="185">
        <f t="shared" si="5"/>
        <v>182.29166666666666</v>
      </c>
      <c r="AQ18" s="186">
        <v>30</v>
      </c>
      <c r="AR18" s="140">
        <v>1080</v>
      </c>
      <c r="AS18" s="183">
        <f t="shared" si="6"/>
        <v>0.13846153846153847</v>
      </c>
      <c r="AT18" s="187">
        <v>0.075</v>
      </c>
      <c r="AU18" s="140"/>
    </row>
    <row r="19" spans="1:47" ht="13.5" customHeight="1">
      <c r="A19" s="276">
        <v>6</v>
      </c>
      <c r="B19" s="164">
        <v>0.1385</v>
      </c>
      <c r="C19" s="251">
        <f t="shared" si="7"/>
        <v>1108</v>
      </c>
      <c r="D19" s="421">
        <f t="shared" si="22"/>
        <v>322.9727272727273</v>
      </c>
      <c r="E19" s="422"/>
      <c r="F19" s="165">
        <f t="shared" si="8"/>
        <v>785.0272727272727</v>
      </c>
      <c r="G19" s="251">
        <f t="shared" si="25"/>
        <v>484.45909090909095</v>
      </c>
      <c r="H19" s="263">
        <v>0.025</v>
      </c>
      <c r="I19" s="272">
        <f t="shared" si="9"/>
        <v>166.25</v>
      </c>
      <c r="J19" s="267">
        <f t="shared" si="10"/>
        <v>225</v>
      </c>
      <c r="K19" s="148">
        <f t="shared" si="11"/>
        <v>75.56818181818181</v>
      </c>
      <c r="L19" s="251">
        <f t="shared" si="23"/>
        <v>300.5681818181818</v>
      </c>
      <c r="M19" s="408">
        <f t="shared" si="12"/>
        <v>75.56818181818181</v>
      </c>
      <c r="N19" s="228"/>
      <c r="O19" s="173"/>
      <c r="P19" s="173"/>
      <c r="Q19" s="173"/>
      <c r="R19" s="173"/>
      <c r="S19" s="173"/>
      <c r="T19" s="173"/>
      <c r="U19" s="173"/>
      <c r="V19" s="173"/>
      <c r="W19" s="173"/>
      <c r="X19" s="319">
        <v>100</v>
      </c>
      <c r="Y19" s="173"/>
      <c r="Z19" s="196">
        <f t="shared" si="24"/>
        <v>0.1028</v>
      </c>
      <c r="AA19" s="207">
        <f t="shared" si="13"/>
        <v>642.5</v>
      </c>
      <c r="AB19" s="243">
        <f t="shared" si="14"/>
        <v>484.45909090909095</v>
      </c>
      <c r="AC19" s="243"/>
      <c r="AD19" s="182">
        <f t="shared" si="15"/>
        <v>883</v>
      </c>
      <c r="AE19" s="183">
        <f t="shared" si="16"/>
        <v>0.11037499999999999</v>
      </c>
      <c r="AF19" s="192">
        <f t="shared" si="17"/>
        <v>642.5</v>
      </c>
      <c r="AG19" s="183">
        <v>0.1028</v>
      </c>
      <c r="AH19" s="215">
        <f t="shared" si="18"/>
        <v>322.9727272727273</v>
      </c>
      <c r="AI19" s="223">
        <f t="shared" si="19"/>
        <v>90.54176</v>
      </c>
      <c r="AJ19" s="156">
        <f t="shared" si="20"/>
        <v>2.66</v>
      </c>
      <c r="AK19" s="146">
        <f t="shared" si="2"/>
        <v>182.29166666666666</v>
      </c>
      <c r="AL19" s="149">
        <f t="shared" si="21"/>
        <v>184.95166666666665</v>
      </c>
      <c r="AM19" s="184">
        <f t="shared" si="3"/>
        <v>3.5839031770045384</v>
      </c>
      <c r="AN19" s="182">
        <f t="shared" si="4"/>
        <v>836.8</v>
      </c>
      <c r="AO19" s="185">
        <f t="shared" si="5"/>
        <v>182.29166666666666</v>
      </c>
      <c r="AQ19" s="186">
        <v>31</v>
      </c>
      <c r="AR19" s="140">
        <v>1050</v>
      </c>
      <c r="AS19" s="183">
        <f t="shared" si="6"/>
        <v>0.1346153846153846</v>
      </c>
      <c r="AT19" s="187">
        <v>0.08</v>
      </c>
      <c r="AU19" s="140"/>
    </row>
    <row r="20" spans="1:47" ht="13.5" customHeight="1">
      <c r="A20" s="276">
        <v>7</v>
      </c>
      <c r="B20" s="164">
        <v>0.1346</v>
      </c>
      <c r="C20" s="251">
        <f t="shared" si="7"/>
        <v>1076.8</v>
      </c>
      <c r="D20" s="421">
        <f t="shared" si="22"/>
        <v>310.5381818181818</v>
      </c>
      <c r="E20" s="422"/>
      <c r="F20" s="165">
        <f t="shared" si="8"/>
        <v>766.2618181818182</v>
      </c>
      <c r="G20" s="251">
        <f t="shared" si="25"/>
        <v>465.8072727272727</v>
      </c>
      <c r="H20" s="263">
        <v>0.02</v>
      </c>
      <c r="I20" s="272">
        <f t="shared" si="9"/>
        <v>133</v>
      </c>
      <c r="J20" s="267">
        <f t="shared" si="10"/>
        <v>240</v>
      </c>
      <c r="K20" s="148">
        <f t="shared" si="11"/>
        <v>60.454545454545446</v>
      </c>
      <c r="L20" s="251">
        <f t="shared" si="23"/>
        <v>300.45454545454544</v>
      </c>
      <c r="M20" s="408">
        <f t="shared" si="12"/>
        <v>60.454545454545446</v>
      </c>
      <c r="N20" s="228"/>
      <c r="O20" s="173"/>
      <c r="P20" s="173"/>
      <c r="Q20" s="173"/>
      <c r="R20" s="173"/>
      <c r="S20" s="173"/>
      <c r="T20" s="173"/>
      <c r="U20" s="173"/>
      <c r="V20" s="173"/>
      <c r="W20" s="173"/>
      <c r="X20" s="319">
        <v>120</v>
      </c>
      <c r="Y20" s="173"/>
      <c r="Z20" s="196">
        <f t="shared" si="24"/>
        <v>0.1082</v>
      </c>
      <c r="AA20" s="207">
        <f t="shared" si="13"/>
        <v>676.25</v>
      </c>
      <c r="AB20" s="243">
        <f t="shared" si="14"/>
        <v>465.8072727272727</v>
      </c>
      <c r="AC20" s="243"/>
      <c r="AD20" s="182">
        <f t="shared" si="15"/>
        <v>836.8</v>
      </c>
      <c r="AE20" s="183">
        <f t="shared" si="16"/>
        <v>0.10459999999999998</v>
      </c>
      <c r="AF20" s="192">
        <f t="shared" si="17"/>
        <v>676.25</v>
      </c>
      <c r="AG20" s="183">
        <v>0.1082</v>
      </c>
      <c r="AH20" s="215">
        <f t="shared" si="18"/>
        <v>310.5381818181818</v>
      </c>
      <c r="AI20" s="223">
        <f t="shared" si="19"/>
        <v>76.89175999999999</v>
      </c>
      <c r="AJ20" s="156">
        <f t="shared" si="20"/>
        <v>4.15625</v>
      </c>
      <c r="AK20" s="146">
        <f t="shared" si="2"/>
        <v>182.29166666666666</v>
      </c>
      <c r="AL20" s="149">
        <f t="shared" si="21"/>
        <v>186.44791666666666</v>
      </c>
      <c r="AM20" s="184">
        <f t="shared" si="3"/>
        <v>3.276461247637051</v>
      </c>
      <c r="AN20" s="182">
        <f t="shared" si="4"/>
        <v>759.8</v>
      </c>
      <c r="AO20" s="185">
        <f t="shared" si="5"/>
        <v>182.29166666666666</v>
      </c>
      <c r="AQ20" s="186">
        <v>31</v>
      </c>
      <c r="AR20" s="140">
        <v>960</v>
      </c>
      <c r="AS20" s="183">
        <f t="shared" si="6"/>
        <v>0.12307692307692308</v>
      </c>
      <c r="AT20" s="187">
        <v>0.075</v>
      </c>
      <c r="AU20" s="140"/>
    </row>
    <row r="21" spans="1:47" ht="13.5" customHeight="1">
      <c r="A21" s="276">
        <v>8</v>
      </c>
      <c r="B21" s="164">
        <v>0.1231</v>
      </c>
      <c r="C21" s="251">
        <f t="shared" si="7"/>
        <v>984.8</v>
      </c>
      <c r="D21" s="421">
        <f t="shared" si="22"/>
        <v>273.69272727272727</v>
      </c>
      <c r="E21" s="422"/>
      <c r="F21" s="165">
        <f t="shared" si="8"/>
        <v>711.1072727272726</v>
      </c>
      <c r="G21" s="251">
        <f t="shared" si="25"/>
        <v>410.53909090909093</v>
      </c>
      <c r="H21" s="263">
        <v>0.025</v>
      </c>
      <c r="I21" s="272">
        <f t="shared" si="9"/>
        <v>166.25</v>
      </c>
      <c r="J21" s="267">
        <f t="shared" si="10"/>
        <v>225</v>
      </c>
      <c r="K21" s="148">
        <f t="shared" si="11"/>
        <v>75.56818181818181</v>
      </c>
      <c r="L21" s="251">
        <f t="shared" si="23"/>
        <v>300.5681818181818</v>
      </c>
      <c r="M21" s="408">
        <f t="shared" si="12"/>
        <v>75.56818181818181</v>
      </c>
      <c r="N21" s="228"/>
      <c r="O21" s="173"/>
      <c r="P21" s="173"/>
      <c r="Q21" s="173"/>
      <c r="R21" s="173"/>
      <c r="S21" s="173"/>
      <c r="T21" s="173"/>
      <c r="U21" s="173"/>
      <c r="V21" s="173"/>
      <c r="W21" s="173"/>
      <c r="X21" s="319"/>
      <c r="Y21" s="173"/>
      <c r="Z21" s="196">
        <f t="shared" si="24"/>
        <v>0.1012</v>
      </c>
      <c r="AA21" s="207">
        <f t="shared" si="13"/>
        <v>632.5</v>
      </c>
      <c r="AB21" s="243">
        <f t="shared" si="14"/>
        <v>410.53909090909093</v>
      </c>
      <c r="AC21" s="243"/>
      <c r="AD21" s="182">
        <f t="shared" si="15"/>
        <v>759.8</v>
      </c>
      <c r="AE21" s="183">
        <f t="shared" si="16"/>
        <v>0.09497499999999999</v>
      </c>
      <c r="AF21" s="192">
        <f t="shared" si="17"/>
        <v>632.5</v>
      </c>
      <c r="AG21" s="183">
        <v>0.1012</v>
      </c>
      <c r="AH21" s="215">
        <f t="shared" si="18"/>
        <v>273.69272727272727</v>
      </c>
      <c r="AI21" s="223">
        <f t="shared" si="19"/>
        <v>43.6692</v>
      </c>
      <c r="AJ21" s="156">
        <f t="shared" si="20"/>
        <v>5.984999999999999</v>
      </c>
      <c r="AK21" s="146">
        <f t="shared" si="2"/>
        <v>182.29166666666666</v>
      </c>
      <c r="AL21" s="149">
        <f t="shared" si="21"/>
        <v>188.27666666666664</v>
      </c>
      <c r="AM21" s="184">
        <f t="shared" si="3"/>
        <v>2.0481262327416174</v>
      </c>
      <c r="AN21" s="182">
        <f t="shared" si="4"/>
        <v>453</v>
      </c>
      <c r="AO21" s="185">
        <f t="shared" si="5"/>
        <v>182.29166666666663</v>
      </c>
      <c r="AQ21" s="186">
        <v>30</v>
      </c>
      <c r="AR21" s="140">
        <v>690</v>
      </c>
      <c r="AS21" s="183">
        <f t="shared" si="6"/>
        <v>0.08846153846153847</v>
      </c>
      <c r="AT21" s="187">
        <v>0.085</v>
      </c>
      <c r="AU21" s="140"/>
    </row>
    <row r="22" spans="1:47" ht="13.5" customHeight="1">
      <c r="A22" s="276">
        <v>9</v>
      </c>
      <c r="B22" s="164">
        <v>0.0885</v>
      </c>
      <c r="C22" s="251">
        <f t="shared" si="7"/>
        <v>708</v>
      </c>
      <c r="D22" s="421">
        <f t="shared" si="22"/>
        <v>144.92727272727274</v>
      </c>
      <c r="E22" s="422"/>
      <c r="F22" s="165">
        <f t="shared" si="8"/>
        <v>563.0727272727272</v>
      </c>
      <c r="G22" s="251">
        <f t="shared" si="25"/>
        <v>217.39090909090908</v>
      </c>
      <c r="H22" s="263">
        <v>0.03</v>
      </c>
      <c r="I22" s="272">
        <f t="shared" si="9"/>
        <v>199.5</v>
      </c>
      <c r="J22" s="267">
        <f t="shared" si="10"/>
        <v>255.00000000000003</v>
      </c>
      <c r="K22" s="148">
        <f t="shared" si="11"/>
        <v>90.68181818181817</v>
      </c>
      <c r="L22" s="251">
        <f t="shared" si="23"/>
        <v>345.6818181818182</v>
      </c>
      <c r="M22" s="408">
        <f t="shared" si="12"/>
        <v>90.68181818181817</v>
      </c>
      <c r="N22" s="228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96">
        <f t="shared" si="24"/>
        <v>0.0964</v>
      </c>
      <c r="AA22" s="207">
        <f t="shared" si="13"/>
        <v>602.5</v>
      </c>
      <c r="AB22" s="243">
        <f t="shared" si="14"/>
        <v>217.39090909090908</v>
      </c>
      <c r="AC22" s="243"/>
      <c r="AD22" s="182">
        <f t="shared" si="15"/>
        <v>453</v>
      </c>
      <c r="AE22" s="183">
        <f t="shared" si="16"/>
        <v>0.056624999999999995</v>
      </c>
      <c r="AF22" s="192">
        <f t="shared" si="17"/>
        <v>602.5</v>
      </c>
      <c r="AG22" s="183">
        <v>0.0964</v>
      </c>
      <c r="AH22" s="215">
        <f t="shared" si="18"/>
        <v>144.92727272727274</v>
      </c>
      <c r="AI22" s="223">
        <f t="shared" si="19"/>
        <v>20.881800000000005</v>
      </c>
      <c r="AJ22" s="156">
        <f t="shared" si="20"/>
        <v>42.56</v>
      </c>
      <c r="AK22" s="146">
        <f t="shared" si="2"/>
        <v>182.29166666666666</v>
      </c>
      <c r="AL22" s="149">
        <f t="shared" si="21"/>
        <v>224.85166666666666</v>
      </c>
      <c r="AM22" s="184">
        <f t="shared" si="3"/>
        <v>1.0321683440073195</v>
      </c>
      <c r="AN22" s="182">
        <f t="shared" si="4"/>
        <v>257.80000000000007</v>
      </c>
      <c r="AO22" s="185">
        <f t="shared" si="5"/>
        <v>182.29166666666666</v>
      </c>
      <c r="AQ22" s="186">
        <v>31</v>
      </c>
      <c r="AR22" s="140">
        <v>500</v>
      </c>
      <c r="AS22" s="183">
        <f t="shared" si="6"/>
        <v>0.0641025641025641</v>
      </c>
      <c r="AT22" s="187">
        <v>0.085</v>
      </c>
      <c r="AU22" s="140"/>
    </row>
    <row r="23" spans="1:47" ht="13.5" customHeight="1">
      <c r="A23" s="276">
        <v>10</v>
      </c>
      <c r="B23" s="164">
        <v>0.0641</v>
      </c>
      <c r="C23" s="251">
        <f t="shared" si="7"/>
        <v>512.8000000000001</v>
      </c>
      <c r="D23" s="421">
        <f t="shared" si="22"/>
        <v>6.392727272727303</v>
      </c>
      <c r="E23" s="422"/>
      <c r="F23" s="165">
        <f t="shared" si="8"/>
        <v>506.40727272727275</v>
      </c>
      <c r="G23" s="251">
        <f t="shared" si="25"/>
        <v>9.589090909090952</v>
      </c>
      <c r="H23" s="263">
        <v>0.08</v>
      </c>
      <c r="I23" s="272">
        <f t="shared" si="9"/>
        <v>532</v>
      </c>
      <c r="J23" s="267">
        <f t="shared" si="10"/>
        <v>255.00000000000003</v>
      </c>
      <c r="K23" s="148">
        <f t="shared" si="11"/>
        <v>241.81818181818178</v>
      </c>
      <c r="L23" s="251">
        <f t="shared" si="23"/>
        <v>496.8181818181818</v>
      </c>
      <c r="M23" s="408">
        <f t="shared" si="12"/>
        <v>241.81818181818178</v>
      </c>
      <c r="N23" s="228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96">
        <f t="shared" si="24"/>
        <v>0.081</v>
      </c>
      <c r="AA23" s="207">
        <f t="shared" si="13"/>
        <v>506.25</v>
      </c>
      <c r="AB23" s="243">
        <f t="shared" si="14"/>
        <v>9.589090909090952</v>
      </c>
      <c r="AC23" s="243"/>
      <c r="AD23" s="182">
        <f t="shared" si="15"/>
        <v>257.80000000000007</v>
      </c>
      <c r="AE23" s="183">
        <f t="shared" si="16"/>
        <v>0.032225000000000004</v>
      </c>
      <c r="AF23" s="192">
        <f t="shared" si="17"/>
        <v>506.25</v>
      </c>
      <c r="AG23" s="183">
        <v>0.081</v>
      </c>
      <c r="AH23" s="215">
        <f t="shared" si="18"/>
        <v>6.392727272727303</v>
      </c>
      <c r="AI23" s="223">
        <f t="shared" si="19"/>
        <v>0.2985200000000005</v>
      </c>
      <c r="AJ23" s="156">
        <f t="shared" si="20"/>
        <v>130.34000000000003</v>
      </c>
      <c r="AK23" s="146">
        <f t="shared" si="2"/>
        <v>182.29166666666666</v>
      </c>
      <c r="AL23" s="149">
        <f t="shared" si="21"/>
        <v>312.63166666666666</v>
      </c>
      <c r="AM23" s="184">
        <f t="shared" si="3"/>
        <v>0.3993180327868852</v>
      </c>
      <c r="AN23" s="182">
        <f t="shared" si="4"/>
        <v>6.800000000000011</v>
      </c>
      <c r="AO23" s="185">
        <f t="shared" si="5"/>
        <v>182.29166666666663</v>
      </c>
      <c r="AQ23" s="186">
        <v>30</v>
      </c>
      <c r="AR23" s="140">
        <v>270</v>
      </c>
      <c r="AS23" s="183">
        <f t="shared" si="6"/>
        <v>0.03461538461538462</v>
      </c>
      <c r="AT23" s="187">
        <v>0.09</v>
      </c>
      <c r="AU23" s="140"/>
    </row>
    <row r="24" spans="1:47" ht="13.5" customHeight="1" thickBot="1">
      <c r="A24" s="276">
        <v>11</v>
      </c>
      <c r="B24" s="164">
        <v>0.0346</v>
      </c>
      <c r="C24" s="251">
        <f t="shared" si="7"/>
        <v>276.8</v>
      </c>
      <c r="D24" s="421">
        <f t="shared" si="22"/>
        <v>0</v>
      </c>
      <c r="E24" s="422"/>
      <c r="F24" s="165">
        <f t="shared" si="8"/>
        <v>276.8</v>
      </c>
      <c r="G24" s="251">
        <f t="shared" si="25"/>
        <v>0</v>
      </c>
      <c r="H24" s="263">
        <v>0.14</v>
      </c>
      <c r="I24" s="272">
        <f t="shared" si="9"/>
        <v>931.0000000000001</v>
      </c>
      <c r="J24" s="267">
        <f t="shared" si="10"/>
        <v>270</v>
      </c>
      <c r="K24" s="148">
        <f t="shared" si="11"/>
        <v>423.1818181818182</v>
      </c>
      <c r="L24" s="251">
        <f t="shared" si="23"/>
        <v>693.1818181818182</v>
      </c>
      <c r="M24" s="408">
        <f t="shared" si="12"/>
        <v>0</v>
      </c>
      <c r="N24" s="228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96">
        <f t="shared" si="24"/>
        <v>0.0439</v>
      </c>
      <c r="AA24" s="207">
        <f t="shared" si="13"/>
        <v>274.375</v>
      </c>
      <c r="AB24" s="243">
        <f t="shared" si="14"/>
        <v>0</v>
      </c>
      <c r="AC24" s="243"/>
      <c r="AD24" s="182">
        <f t="shared" si="15"/>
        <v>6.800000000000011</v>
      </c>
      <c r="AE24" s="183">
        <f t="shared" si="16"/>
        <v>0.0008500000000000014</v>
      </c>
      <c r="AF24" s="192">
        <f t="shared" si="17"/>
        <v>274.375</v>
      </c>
      <c r="AG24" s="183">
        <v>0.0439</v>
      </c>
      <c r="AH24" s="215">
        <f t="shared" si="18"/>
        <v>-166.5527272727273</v>
      </c>
      <c r="AI24" s="224">
        <f t="shared" si="19"/>
        <v>0</v>
      </c>
      <c r="AJ24" s="191">
        <f t="shared" si="20"/>
        <v>252.86625</v>
      </c>
      <c r="AK24" s="159">
        <f t="shared" si="2"/>
        <v>182.29166666666666</v>
      </c>
      <c r="AL24" s="160">
        <f t="shared" si="21"/>
        <v>435.15791666666667</v>
      </c>
      <c r="AM24" s="184">
        <f t="shared" si="3"/>
        <v>0.15278492527615334</v>
      </c>
      <c r="AN24" s="182">
        <f t="shared" si="4"/>
        <v>-151.4</v>
      </c>
      <c r="AO24" s="185">
        <f t="shared" si="5"/>
        <v>182.29166666666666</v>
      </c>
      <c r="AQ24" s="186">
        <v>31</v>
      </c>
      <c r="AR24" s="140">
        <v>130</v>
      </c>
      <c r="AS24" s="183">
        <f t="shared" si="6"/>
        <v>0.016666666666666666</v>
      </c>
      <c r="AT24" s="187">
        <v>0.095</v>
      </c>
      <c r="AU24" s="140"/>
    </row>
    <row r="25" spans="1:47" ht="13.5" customHeight="1" thickBot="1">
      <c r="A25" s="282">
        <v>12</v>
      </c>
      <c r="B25" s="166">
        <v>0.0167</v>
      </c>
      <c r="C25" s="235">
        <f t="shared" si="7"/>
        <v>133.6</v>
      </c>
      <c r="D25" s="428">
        <f t="shared" si="22"/>
        <v>0</v>
      </c>
      <c r="E25" s="429"/>
      <c r="F25" s="167">
        <f t="shared" si="8"/>
        <v>133.6</v>
      </c>
      <c r="G25" s="235">
        <f t="shared" si="25"/>
        <v>0</v>
      </c>
      <c r="H25" s="264">
        <v>0.195</v>
      </c>
      <c r="I25" s="272">
        <f t="shared" si="9"/>
        <v>1296.75</v>
      </c>
      <c r="J25" s="268">
        <f t="shared" si="10"/>
        <v>285</v>
      </c>
      <c r="K25" s="168">
        <f t="shared" si="11"/>
        <v>589.4318181818181</v>
      </c>
      <c r="L25" s="235">
        <f t="shared" si="23"/>
        <v>874.4318181818181</v>
      </c>
      <c r="M25" s="409">
        <f t="shared" si="12"/>
        <v>0</v>
      </c>
      <c r="N25" s="228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355">
        <f t="shared" si="24"/>
        <v>0.0257</v>
      </c>
      <c r="AA25" s="356">
        <f t="shared" si="13"/>
        <v>160.625</v>
      </c>
      <c r="AB25" s="243">
        <f t="shared" si="14"/>
        <v>0</v>
      </c>
      <c r="AC25" s="243"/>
      <c r="AD25" s="182">
        <f t="shared" si="15"/>
        <v>-151.4</v>
      </c>
      <c r="AE25" s="183">
        <f t="shared" si="16"/>
        <v>-0.018924999999999997</v>
      </c>
      <c r="AF25" s="192">
        <f t="shared" si="17"/>
        <v>160.625</v>
      </c>
      <c r="AG25" s="183">
        <v>0.0257</v>
      </c>
      <c r="AH25" s="215">
        <f t="shared" si="18"/>
        <v>-296.33272727272725</v>
      </c>
      <c r="AI25" s="221"/>
      <c r="AJ25" s="225"/>
      <c r="AK25" s="152"/>
      <c r="AL25" s="226"/>
      <c r="AM25" s="184"/>
      <c r="AN25" s="182"/>
      <c r="AO25" s="185"/>
      <c r="AQ25" s="186"/>
      <c r="AR25" s="140"/>
      <c r="AS25" s="183"/>
      <c r="AT25" s="187"/>
      <c r="AU25" s="140"/>
    </row>
    <row r="26" spans="1:47" ht="13.5" customHeight="1" thickBot="1">
      <c r="A26" s="227"/>
      <c r="B26" s="161">
        <f>SUM(B14:B25)</f>
        <v>1</v>
      </c>
      <c r="C26" s="239">
        <f>SUM(C14:C25)</f>
        <v>8000.000000000001</v>
      </c>
      <c r="D26" s="430">
        <f>SUM(D14:D25)</f>
        <v>1663.507272727273</v>
      </c>
      <c r="E26" s="431"/>
      <c r="F26" s="275">
        <f aca="true" t="shared" si="26" ref="F26:K26">SUM(F14:F25)</f>
        <v>6336.492727272726</v>
      </c>
      <c r="G26" s="239">
        <f t="shared" si="26"/>
        <v>2495.260909090909</v>
      </c>
      <c r="H26" s="371">
        <f t="shared" si="26"/>
        <v>1</v>
      </c>
      <c r="I26" s="273">
        <f t="shared" si="26"/>
        <v>6650</v>
      </c>
      <c r="J26" s="269">
        <f t="shared" si="26"/>
        <v>3000</v>
      </c>
      <c r="K26" s="229">
        <f t="shared" si="26"/>
        <v>3022.727272727272</v>
      </c>
      <c r="L26" s="375">
        <f>J26+K26</f>
        <v>6022.727272727272</v>
      </c>
      <c r="M26" s="277">
        <f>SUM(M14:M25)</f>
        <v>988.4318181818181</v>
      </c>
      <c r="N26" s="387"/>
      <c r="O26" s="393"/>
      <c r="P26" s="393"/>
      <c r="Q26" s="283"/>
      <c r="R26" s="283"/>
      <c r="S26" s="283"/>
      <c r="T26" s="283"/>
      <c r="U26" s="283"/>
      <c r="V26" s="283"/>
      <c r="W26" s="283"/>
      <c r="X26" s="283"/>
      <c r="Y26" s="283"/>
      <c r="Z26" s="361">
        <f>SUM(Z14:Z25)</f>
        <v>1.0001</v>
      </c>
      <c r="AA26" s="193">
        <f>SUM(AA14:AA25)</f>
        <v>6250.625</v>
      </c>
      <c r="AB26" s="244">
        <f>SUM(AB14:AB25)</f>
        <v>2495.260909090909</v>
      </c>
      <c r="AC26" s="244"/>
      <c r="AD26" s="182"/>
      <c r="AE26" s="183"/>
      <c r="AF26" s="192"/>
      <c r="AG26" s="183"/>
      <c r="AH26" s="215"/>
      <c r="AI26" s="222">
        <f>SUM(AI13:AI24)</f>
        <v>548.00368</v>
      </c>
      <c r="AJ26" s="157">
        <f>SUM(AJ13:AJ24)</f>
        <v>884.4367000000001</v>
      </c>
      <c r="AK26" s="150">
        <f>SUM(AK13:AK24)</f>
        <v>2187.5000000000005</v>
      </c>
      <c r="AL26" s="158">
        <f>SUM(AL13:AL24)</f>
        <v>3071.9366999999997</v>
      </c>
      <c r="AM26" s="152"/>
      <c r="AN26" s="140"/>
      <c r="AO26" s="185">
        <f t="shared" si="5"/>
        <v>2187.4999999999995</v>
      </c>
      <c r="AQ26" s="188">
        <f>SUM(AQ13:AQ24)</f>
        <v>365</v>
      </c>
      <c r="AR26" s="189">
        <f>SUM(AR13:AR24)</f>
        <v>7800</v>
      </c>
      <c r="AS26" s="183">
        <f>SUM(AS13:AS24)</f>
        <v>1</v>
      </c>
      <c r="AT26" s="187">
        <f>SUM(AT13:AT24)</f>
        <v>0.9999999999999999</v>
      </c>
      <c r="AU26" s="140"/>
    </row>
    <row r="27" spans="1:47" ht="13.5" customHeight="1">
      <c r="A27" s="140"/>
      <c r="B27" s="174"/>
      <c r="C27" s="213"/>
      <c r="D27" s="232"/>
      <c r="E27" s="173"/>
      <c r="F27" s="173"/>
      <c r="G27" s="173"/>
      <c r="I27" s="152" t="s">
        <v>106</v>
      </c>
      <c r="J27" s="234">
        <f>IF(Wirkleistungsbegrenzung=60%,J26*75%,J26*30%)</f>
        <v>2250</v>
      </c>
      <c r="K27" s="239"/>
      <c r="L27" s="198"/>
      <c r="M27" s="410" t="s">
        <v>125</v>
      </c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214"/>
      <c r="AA27" s="359"/>
      <c r="AB27" s="211"/>
      <c r="AC27" s="211"/>
      <c r="AD27" s="140"/>
      <c r="AE27" s="140"/>
      <c r="AF27" s="192">
        <f>SUM(AF14:AF25)</f>
        <v>6250.625</v>
      </c>
      <c r="AG27" s="140"/>
      <c r="AH27" s="140"/>
      <c r="AI27" s="182"/>
      <c r="AJ27" s="176"/>
      <c r="AK27" s="173"/>
      <c r="AL27" s="170"/>
      <c r="AM27" s="152"/>
      <c r="AN27" s="140"/>
      <c r="AO27" s="185"/>
      <c r="AQ27" s="188"/>
      <c r="AR27" s="189"/>
      <c r="AS27" s="183"/>
      <c r="AT27" s="187"/>
      <c r="AU27" s="140"/>
    </row>
    <row r="28" spans="2:47" ht="13.5" customHeight="1">
      <c r="B28" s="367"/>
      <c r="C28" s="368"/>
      <c r="G28" s="274"/>
      <c r="H28" s="174"/>
      <c r="J28" s="152"/>
      <c r="K28" s="237" t="s">
        <v>112</v>
      </c>
      <c r="L28" s="345">
        <f>(K26-M26)*M9/100</f>
        <v>447.54499999999985</v>
      </c>
      <c r="M28" s="199">
        <f>M26*M9/100</f>
        <v>217.455</v>
      </c>
      <c r="N28" s="230"/>
      <c r="O28" s="230"/>
      <c r="P28" s="230"/>
      <c r="Q28" s="173"/>
      <c r="R28" s="173"/>
      <c r="S28" s="173"/>
      <c r="T28" s="173"/>
      <c r="U28" s="173"/>
      <c r="V28" s="173"/>
      <c r="W28" s="173"/>
      <c r="X28" s="173"/>
      <c r="Y28" s="173"/>
      <c r="Z28" s="240"/>
      <c r="AA28" s="211"/>
      <c r="AB28" s="209"/>
      <c r="AC28" s="209"/>
      <c r="AD28" s="140"/>
      <c r="AE28" s="140"/>
      <c r="AF28" s="192"/>
      <c r="AG28" s="140"/>
      <c r="AH28" s="140"/>
      <c r="AI28" s="182"/>
      <c r="AJ28" s="176"/>
      <c r="AK28" s="173"/>
      <c r="AL28" s="173"/>
      <c r="AM28" s="152"/>
      <c r="AN28" s="140"/>
      <c r="AO28" s="185"/>
      <c r="AQ28" s="188"/>
      <c r="AR28" s="189"/>
      <c r="AS28" s="183"/>
      <c r="AT28" s="187"/>
      <c r="AU28" s="140"/>
    </row>
    <row r="29" spans="1:47" ht="13.5" customHeight="1">
      <c r="A29" s="140"/>
      <c r="B29" s="369"/>
      <c r="C29" s="368"/>
      <c r="D29" s="173"/>
      <c r="E29" s="173"/>
      <c r="F29" s="173"/>
      <c r="G29" s="173"/>
      <c r="H29" s="174"/>
      <c r="J29" s="194"/>
      <c r="K29" s="238" t="s">
        <v>113</v>
      </c>
      <c r="L29" s="346">
        <f>(J26-J27)*M8/100</f>
        <v>195</v>
      </c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240"/>
      <c r="AA29" s="211"/>
      <c r="AB29" s="209"/>
      <c r="AC29" s="209"/>
      <c r="AD29" s="140"/>
      <c r="AE29" s="140"/>
      <c r="AF29" s="140"/>
      <c r="AG29" s="140"/>
      <c r="AH29" s="140"/>
      <c r="AI29" s="186"/>
      <c r="AJ29" s="140"/>
      <c r="AK29" s="140"/>
      <c r="AL29" s="140"/>
      <c r="AM29" s="140"/>
      <c r="AN29" s="140"/>
      <c r="AO29" s="140"/>
      <c r="AP29" s="3"/>
      <c r="AQ29" s="140"/>
      <c r="AR29" s="140"/>
      <c r="AS29" s="140"/>
      <c r="AT29" s="140"/>
      <c r="AU29" s="186"/>
    </row>
    <row r="30" spans="1:47" ht="13.5" customHeight="1" thickBot="1">
      <c r="A30" s="140"/>
      <c r="B30" s="369"/>
      <c r="C30" s="368"/>
      <c r="D30" s="140"/>
      <c r="E30" s="140"/>
      <c r="F30" s="140"/>
      <c r="G30" s="140"/>
      <c r="H30" s="140"/>
      <c r="J30" s="140"/>
      <c r="K30" s="194" t="s">
        <v>101</v>
      </c>
      <c r="L30" s="347">
        <f>G26*-M10/100</f>
        <v>-299.4313090909091</v>
      </c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38"/>
      <c r="AA30" s="211"/>
      <c r="AB30" s="242"/>
      <c r="AC30" s="242"/>
      <c r="AD30" s="186"/>
      <c r="AE30" s="186"/>
      <c r="AF30" s="186"/>
      <c r="AG30" s="186"/>
      <c r="AH30" s="186"/>
      <c r="AI30" s="186"/>
      <c r="AJ30" s="140"/>
      <c r="AK30" s="140"/>
      <c r="AL30" s="140"/>
      <c r="AM30" s="140"/>
      <c r="AN30" s="140"/>
      <c r="AO30" s="140"/>
      <c r="AP30" s="3"/>
      <c r="AQ30" s="140"/>
      <c r="AR30" s="140"/>
      <c r="AS30" s="140"/>
      <c r="AT30" s="140"/>
      <c r="AU30" s="186"/>
    </row>
    <row r="31" spans="1:47" ht="13.5" customHeight="1" thickBot="1">
      <c r="A31" s="140"/>
      <c r="B31" s="369"/>
      <c r="C31" s="370"/>
      <c r="D31" s="140"/>
      <c r="E31" s="140"/>
      <c r="F31" s="140"/>
      <c r="G31" s="140"/>
      <c r="H31" s="140"/>
      <c r="J31" s="210" t="s">
        <v>123</v>
      </c>
      <c r="K31" s="278">
        <f>C4</f>
        <v>8</v>
      </c>
      <c r="L31" s="343">
        <f>SUM(L28:L30)</f>
        <v>343.11369090909074</v>
      </c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40"/>
      <c r="AA31" s="230"/>
      <c r="AB31" s="211"/>
      <c r="AC31" s="211"/>
      <c r="AD31" s="186"/>
      <c r="AE31" s="186"/>
      <c r="AF31" s="186"/>
      <c r="AG31" s="186"/>
      <c r="AH31" s="186"/>
      <c r="AI31" s="4"/>
      <c r="AJ31" s="3"/>
      <c r="AK31" s="3"/>
      <c r="AL31" s="3"/>
      <c r="AM31" s="3"/>
      <c r="AN31" s="3"/>
      <c r="AO31" s="3"/>
      <c r="AP31" s="3"/>
      <c r="AT31"/>
      <c r="AU31" s="1"/>
    </row>
    <row r="32" spans="2:47" ht="12.75">
      <c r="B32" s="140"/>
      <c r="D32" s="140"/>
      <c r="E32" s="140"/>
      <c r="F32" s="140"/>
      <c r="G32" s="140"/>
      <c r="L32" s="253" t="s">
        <v>157</v>
      </c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40"/>
      <c r="AA32" s="230"/>
      <c r="AB32" s="211"/>
      <c r="AC32" s="211"/>
      <c r="AD32" s="4"/>
      <c r="AE32" s="4"/>
      <c r="AF32" s="4"/>
      <c r="AG32" s="4"/>
      <c r="AH32" s="4"/>
      <c r="AI32" s="4"/>
      <c r="AJ32" s="3"/>
      <c r="AK32" s="3"/>
      <c r="AL32" s="3"/>
      <c r="AM32" s="3"/>
      <c r="AN32" s="3"/>
      <c r="AO32" s="3"/>
      <c r="AP32" s="3"/>
      <c r="AT32"/>
      <c r="AU32" s="1"/>
    </row>
    <row r="33" spans="1:41" ht="12.75">
      <c r="A33" s="6" t="s">
        <v>75</v>
      </c>
      <c r="B33" s="140"/>
      <c r="C33" s="140"/>
      <c r="D33" s="140"/>
      <c r="E33" s="140"/>
      <c r="F33" s="140"/>
      <c r="G33" s="140"/>
      <c r="H33" s="140"/>
      <c r="I33" s="140"/>
      <c r="J33" s="211"/>
      <c r="K33" s="211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360"/>
      <c r="Z33" s="253"/>
      <c r="AA33" s="230"/>
      <c r="AB33" s="230"/>
      <c r="AC33" s="230"/>
      <c r="AD33" s="4"/>
      <c r="AE33" s="4"/>
      <c r="AF33" s="4"/>
      <c r="AG33" s="4"/>
      <c r="AH33" s="4"/>
      <c r="AI33" s="5"/>
      <c r="AJ33" s="5"/>
      <c r="AK33" s="3"/>
      <c r="AL33" s="3"/>
      <c r="AM33" s="3"/>
      <c r="AN33" s="3"/>
      <c r="AO33" s="3"/>
    </row>
    <row r="34" spans="1:34" ht="12.75">
      <c r="A34" s="7" t="s">
        <v>124</v>
      </c>
      <c r="B34" s="3"/>
      <c r="H34" s="3"/>
      <c r="I34" s="9"/>
      <c r="J34" s="9"/>
      <c r="K34" s="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240"/>
      <c r="AA34" s="230"/>
      <c r="AB34" s="230"/>
      <c r="AC34" s="230"/>
      <c r="AD34" s="10"/>
      <c r="AE34" s="10"/>
      <c r="AF34" s="10"/>
      <c r="AG34" s="10"/>
      <c r="AH34" s="10"/>
    </row>
    <row r="35" spans="1:29" ht="12.75">
      <c r="A35" s="340" t="s">
        <v>165</v>
      </c>
      <c r="Z35" s="240"/>
      <c r="AA35" s="230"/>
      <c r="AB35" s="241"/>
      <c r="AC35" s="241"/>
    </row>
    <row r="36" spans="1:27" ht="12.75">
      <c r="A36" s="6" t="s">
        <v>166</v>
      </c>
      <c r="Z36" s="241"/>
      <c r="AA36" s="241"/>
    </row>
    <row r="37" spans="1:16" ht="12.75">
      <c r="A37" s="13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1"/>
      <c r="O37" s="31"/>
      <c r="P37" s="31"/>
    </row>
    <row r="38" spans="1:16" ht="20.25" customHeight="1">
      <c r="A38" s="424" t="s">
        <v>151</v>
      </c>
      <c r="B38" s="424"/>
      <c r="C38" s="424"/>
      <c r="D38" s="424"/>
      <c r="E38" s="424"/>
      <c r="F38" s="424"/>
      <c r="G38" s="424"/>
      <c r="H38" s="424"/>
      <c r="I38" s="31"/>
      <c r="J38" s="31"/>
      <c r="K38" s="31"/>
      <c r="L38" s="31"/>
      <c r="M38" s="31"/>
      <c r="N38" s="31"/>
      <c r="O38" s="31"/>
      <c r="P38" s="31"/>
    </row>
    <row r="39" spans="1:16" ht="12.75">
      <c r="A39" s="23" t="s">
        <v>10</v>
      </c>
      <c r="B39" s="31"/>
      <c r="C39" s="1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ht="12.75">
      <c r="A40" s="131"/>
      <c r="B40" s="13" t="s">
        <v>169</v>
      </c>
      <c r="C40" s="288">
        <f>Gesamtwärmebedarf</f>
        <v>6650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1" ht="12.75">
      <c r="A41" s="131"/>
      <c r="B41" s="13" t="s">
        <v>135</v>
      </c>
      <c r="C41" s="293">
        <f>J6-WRG_aus_Lüftung</f>
        <v>3150</v>
      </c>
      <c r="D41" s="31"/>
      <c r="E41" s="31"/>
      <c r="F41" s="31"/>
      <c r="G41" s="31"/>
      <c r="H41" s="31"/>
      <c r="I41" s="31"/>
      <c r="J41" s="136" t="s">
        <v>4</v>
      </c>
      <c r="K41" s="382">
        <f>C5</f>
        <v>1000</v>
      </c>
    </row>
    <row r="42" spans="1:11" ht="12.75">
      <c r="A42" s="131"/>
      <c r="B42" s="236" t="s">
        <v>134</v>
      </c>
      <c r="C42" s="293">
        <f>Warmwasserbedarf</f>
        <v>2187.5</v>
      </c>
      <c r="D42" s="31"/>
      <c r="E42" s="31"/>
      <c r="F42" s="31"/>
      <c r="G42" s="31"/>
      <c r="H42" s="31"/>
      <c r="I42" s="31"/>
      <c r="J42" s="136" t="s">
        <v>5</v>
      </c>
      <c r="K42" s="383">
        <f>C44*K41</f>
        <v>4500</v>
      </c>
    </row>
    <row r="43" spans="1:16" ht="12.75">
      <c r="A43" s="200"/>
      <c r="B43" s="13" t="s">
        <v>132</v>
      </c>
      <c r="C43" s="400">
        <v>6250</v>
      </c>
      <c r="D43" s="280">
        <v>20</v>
      </c>
      <c r="E43" s="14" t="s">
        <v>126</v>
      </c>
      <c r="F43" s="31"/>
      <c r="G43" s="31"/>
      <c r="H43" s="31"/>
      <c r="I43" s="31"/>
      <c r="J43" s="13" t="s">
        <v>116</v>
      </c>
      <c r="K43" s="455" t="str">
        <f>C9</f>
        <v>ja</v>
      </c>
      <c r="L43" s="204" t="s">
        <v>143</v>
      </c>
      <c r="M43" s="406">
        <v>6.1</v>
      </c>
      <c r="N43" s="323"/>
      <c r="O43" s="323"/>
      <c r="P43" s="323"/>
    </row>
    <row r="44" spans="1:16" ht="12.75">
      <c r="A44" s="131"/>
      <c r="B44" s="136" t="s">
        <v>3</v>
      </c>
      <c r="C44" s="399">
        <v>4.5</v>
      </c>
      <c r="D44" s="280">
        <f>C44*6.5</f>
        <v>29.25</v>
      </c>
      <c r="E44" s="14" t="s">
        <v>126</v>
      </c>
      <c r="F44" s="31"/>
      <c r="G44" s="31"/>
      <c r="H44" s="31"/>
      <c r="I44" s="31"/>
      <c r="J44" s="203" t="s">
        <v>104</v>
      </c>
      <c r="K44" s="384">
        <f>IF(K43="ja",60%,70%)</f>
        <v>0.6</v>
      </c>
      <c r="L44" s="136" t="s">
        <v>144</v>
      </c>
      <c r="M44" s="406">
        <v>5.3</v>
      </c>
      <c r="N44" s="323"/>
      <c r="O44" s="323"/>
      <c r="P44" s="323"/>
    </row>
    <row r="45" spans="1:16" ht="12.75">
      <c r="A45" s="132"/>
      <c r="F45" s="12"/>
      <c r="G45" s="12"/>
      <c r="H45" s="12"/>
      <c r="I45" s="12"/>
      <c r="L45" s="12"/>
      <c r="M45" s="12"/>
      <c r="N45" s="241"/>
      <c r="O45" s="241"/>
      <c r="P45" s="241"/>
    </row>
    <row r="46" spans="1:29" ht="15" customHeight="1">
      <c r="A46" s="425" t="s">
        <v>130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7"/>
      <c r="N46" s="395"/>
      <c r="O46" s="395"/>
      <c r="P46" s="395"/>
      <c r="AB46" s="31"/>
      <c r="AC46" s="31"/>
    </row>
    <row r="47" spans="1:29" ht="12.75">
      <c r="A47" s="435" t="s">
        <v>150</v>
      </c>
      <c r="B47" s="436"/>
      <c r="C47" s="436"/>
      <c r="D47" s="436"/>
      <c r="E47" s="436"/>
      <c r="F47" s="436"/>
      <c r="G47" s="436"/>
      <c r="H47" s="436"/>
      <c r="I47" s="437"/>
      <c r="J47" s="413" t="s">
        <v>149</v>
      </c>
      <c r="K47" s="413"/>
      <c r="L47" s="413"/>
      <c r="M47" s="415"/>
      <c r="N47" s="179"/>
      <c r="O47" s="179"/>
      <c r="P47" s="179"/>
      <c r="AB47" s="31"/>
      <c r="AC47" s="31"/>
    </row>
    <row r="48" spans="1:46" ht="35.25" customHeight="1">
      <c r="A48" s="306" t="s">
        <v>0</v>
      </c>
      <c r="B48" s="307" t="s">
        <v>131</v>
      </c>
      <c r="C48" s="308" t="s">
        <v>115</v>
      </c>
      <c r="D48" s="432" t="s">
        <v>133</v>
      </c>
      <c r="E48" s="433"/>
      <c r="F48" s="309" t="s">
        <v>140</v>
      </c>
      <c r="G48" s="326" t="s">
        <v>136</v>
      </c>
      <c r="H48" s="310" t="s">
        <v>137</v>
      </c>
      <c r="I48" s="335" t="s">
        <v>139</v>
      </c>
      <c r="J48" s="248" t="s">
        <v>146</v>
      </c>
      <c r="K48" s="329" t="s">
        <v>95</v>
      </c>
      <c r="L48" s="326" t="s">
        <v>147</v>
      </c>
      <c r="M48" s="326" t="s">
        <v>122</v>
      </c>
      <c r="N48" s="248"/>
      <c r="O48" s="248"/>
      <c r="P48" s="248"/>
      <c r="AN48" s="1"/>
      <c r="AT48"/>
    </row>
    <row r="49" spans="1:46" ht="13.5" customHeight="1">
      <c r="A49" s="281">
        <v>1</v>
      </c>
      <c r="B49" s="162">
        <v>0.0399</v>
      </c>
      <c r="C49" s="349">
        <f aca="true" t="shared" si="27" ref="C49:C60">Solarertrag_CPC*B49</f>
        <v>249.375</v>
      </c>
      <c r="D49" s="294">
        <v>0.266</v>
      </c>
      <c r="E49" s="296">
        <v>0.088</v>
      </c>
      <c r="F49" s="289">
        <f aca="true" t="shared" si="28" ref="F49:F60">davon_Heizung*D49</f>
        <v>837.9000000000001</v>
      </c>
      <c r="G49" s="285">
        <f aca="true" t="shared" si="29" ref="G49:G60">Warmwasserbedarf*E49</f>
        <v>192.5</v>
      </c>
      <c r="H49" s="311">
        <f>F49+G49</f>
        <v>1030.4</v>
      </c>
      <c r="I49" s="336">
        <f>IF(H49-C49&lt;=0,0,H49-C49)</f>
        <v>781.0250000000001</v>
      </c>
      <c r="J49" s="332">
        <f aca="true" t="shared" si="30" ref="J49:J60">Erwartete_kWh_a*B14</f>
        <v>109.35</v>
      </c>
      <c r="K49" s="163">
        <f aca="true" t="shared" si="31" ref="K49:K60">J14</f>
        <v>270</v>
      </c>
      <c r="L49" s="285">
        <f aca="true" t="shared" si="32" ref="L49:L60">IF(J49&gt;=K49,(J49-K49)*(100%-Wirkleistung_2),0)</f>
        <v>0</v>
      </c>
      <c r="M49" s="298">
        <f>IF(J49&gt;=K49,(J49-K49-L49)*85%,0)</f>
        <v>0</v>
      </c>
      <c r="N49" s="388"/>
      <c r="O49" s="388"/>
      <c r="P49" s="388"/>
      <c r="AN49" s="1"/>
      <c r="AT49"/>
    </row>
    <row r="50" spans="1:46" ht="12.75">
      <c r="A50" s="276">
        <v>2</v>
      </c>
      <c r="B50" s="164">
        <v>0.0724</v>
      </c>
      <c r="C50" s="350">
        <f t="shared" si="27"/>
        <v>452.50000000000006</v>
      </c>
      <c r="D50" s="295">
        <v>0.193</v>
      </c>
      <c r="E50" s="297">
        <v>0.078</v>
      </c>
      <c r="F50" s="291">
        <f t="shared" si="28"/>
        <v>607.95</v>
      </c>
      <c r="G50" s="298">
        <f t="shared" si="29"/>
        <v>170.625</v>
      </c>
      <c r="H50" s="312">
        <f aca="true" t="shared" si="33" ref="H50:H60">F50+G50</f>
        <v>778.575</v>
      </c>
      <c r="I50" s="337">
        <f>IF(H50-C50&lt;=0,0,H50-C50)</f>
        <v>326.075</v>
      </c>
      <c r="J50" s="333">
        <f t="shared" si="30"/>
        <v>184.5</v>
      </c>
      <c r="K50" s="165">
        <f t="shared" si="31"/>
        <v>255.00000000000003</v>
      </c>
      <c r="L50" s="286">
        <f t="shared" si="32"/>
        <v>0</v>
      </c>
      <c r="M50" s="286">
        <f>IF(J50&gt;=K50,(J50-K50-L50)*85%,0)</f>
        <v>0</v>
      </c>
      <c r="N50" s="388"/>
      <c r="O50" s="388"/>
      <c r="P50" s="388"/>
      <c r="AN50" s="1"/>
      <c r="AT50"/>
    </row>
    <row r="51" spans="1:46" ht="12.75">
      <c r="A51" s="276">
        <v>3</v>
      </c>
      <c r="B51" s="164">
        <v>0.0964</v>
      </c>
      <c r="C51" s="350">
        <f t="shared" si="27"/>
        <v>602.5</v>
      </c>
      <c r="D51" s="295">
        <v>0.055</v>
      </c>
      <c r="E51" s="297">
        <v>0.088</v>
      </c>
      <c r="F51" s="291">
        <f t="shared" si="28"/>
        <v>173.25</v>
      </c>
      <c r="G51" s="298">
        <f t="shared" si="29"/>
        <v>192.5</v>
      </c>
      <c r="H51" s="312">
        <f t="shared" si="33"/>
        <v>365.75</v>
      </c>
      <c r="I51" s="337">
        <f aca="true" t="shared" si="34" ref="I51:I60">IF(H51-C51&lt;=0,0,H51-C51)</f>
        <v>0</v>
      </c>
      <c r="J51" s="333">
        <f t="shared" si="30"/>
        <v>357.75</v>
      </c>
      <c r="K51" s="165">
        <f t="shared" si="31"/>
        <v>240</v>
      </c>
      <c r="L51" s="286">
        <f t="shared" si="32"/>
        <v>47.1</v>
      </c>
      <c r="M51" s="286">
        <f aca="true" t="shared" si="35" ref="M51:M59">IF(J51&gt;=K51,(J51-K51-L51)*85%,0)</f>
        <v>60.0525</v>
      </c>
      <c r="N51" s="388"/>
      <c r="O51" s="388"/>
      <c r="P51" s="388"/>
      <c r="Q51" s="31"/>
      <c r="R51" s="31"/>
      <c r="S51" s="31"/>
      <c r="T51" s="31"/>
      <c r="U51" s="31"/>
      <c r="V51" s="31"/>
      <c r="W51" s="31"/>
      <c r="X51" s="31"/>
      <c r="Y51" s="31"/>
      <c r="Z51" s="31"/>
      <c r="AN51" s="1"/>
      <c r="AT51"/>
    </row>
    <row r="52" spans="1:40" s="31" customFormat="1" ht="12.75">
      <c r="A52" s="276">
        <v>4</v>
      </c>
      <c r="B52" s="164">
        <v>0.1148</v>
      </c>
      <c r="C52" s="350">
        <f t="shared" si="27"/>
        <v>717.5</v>
      </c>
      <c r="D52" s="295">
        <v>0.021</v>
      </c>
      <c r="E52" s="297">
        <v>0.084</v>
      </c>
      <c r="F52" s="291">
        <f t="shared" si="28"/>
        <v>66.15</v>
      </c>
      <c r="G52" s="298">
        <f t="shared" si="29"/>
        <v>183.75</v>
      </c>
      <c r="H52" s="312">
        <f t="shared" si="33"/>
        <v>249.9</v>
      </c>
      <c r="I52" s="337">
        <f t="shared" si="34"/>
        <v>0</v>
      </c>
      <c r="J52" s="333">
        <f t="shared" si="30"/>
        <v>513.4499999999999</v>
      </c>
      <c r="K52" s="165">
        <f t="shared" si="31"/>
        <v>240</v>
      </c>
      <c r="L52" s="286">
        <f t="shared" si="32"/>
        <v>109.37999999999998</v>
      </c>
      <c r="M52" s="286">
        <f t="shared" si="35"/>
        <v>139.45949999999993</v>
      </c>
      <c r="N52" s="388"/>
      <c r="O52" s="388"/>
      <c r="P52" s="388"/>
      <c r="AA52"/>
      <c r="AB52"/>
      <c r="AF52" s="13" t="s">
        <v>6</v>
      </c>
      <c r="AG52" s="13"/>
      <c r="AH52" s="13"/>
      <c r="AN52" s="201"/>
    </row>
    <row r="53" spans="1:46" ht="12.75">
      <c r="A53" s="276">
        <v>5</v>
      </c>
      <c r="B53" s="164">
        <v>0.1174</v>
      </c>
      <c r="C53" s="350">
        <f t="shared" si="27"/>
        <v>733.75</v>
      </c>
      <c r="D53" s="295">
        <v>0</v>
      </c>
      <c r="E53" s="297">
        <v>0.088</v>
      </c>
      <c r="F53" s="291">
        <f t="shared" si="28"/>
        <v>0</v>
      </c>
      <c r="G53" s="298">
        <f t="shared" si="29"/>
        <v>192.5</v>
      </c>
      <c r="H53" s="312">
        <f t="shared" si="33"/>
        <v>192.5</v>
      </c>
      <c r="I53" s="337">
        <f t="shared" si="34"/>
        <v>0</v>
      </c>
      <c r="J53" s="333">
        <f t="shared" si="30"/>
        <v>634.4999999999999</v>
      </c>
      <c r="K53" s="165">
        <f t="shared" si="31"/>
        <v>240</v>
      </c>
      <c r="L53" s="286">
        <f t="shared" si="32"/>
        <v>157.79999999999995</v>
      </c>
      <c r="M53" s="286">
        <f t="shared" si="35"/>
        <v>201.19499999999994</v>
      </c>
      <c r="N53" s="388"/>
      <c r="O53" s="388"/>
      <c r="P53" s="388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N53" s="1"/>
      <c r="AT53"/>
    </row>
    <row r="54" spans="1:46" ht="12.75">
      <c r="A54" s="276">
        <v>6</v>
      </c>
      <c r="B54" s="164">
        <v>0.1028</v>
      </c>
      <c r="C54" s="350">
        <f t="shared" si="27"/>
        <v>642.5</v>
      </c>
      <c r="D54" s="295">
        <v>0</v>
      </c>
      <c r="E54" s="297">
        <v>0.084</v>
      </c>
      <c r="F54" s="291">
        <f t="shared" si="28"/>
        <v>0</v>
      </c>
      <c r="G54" s="298">
        <f t="shared" si="29"/>
        <v>183.75</v>
      </c>
      <c r="H54" s="312">
        <f t="shared" si="33"/>
        <v>183.75</v>
      </c>
      <c r="I54" s="337">
        <f t="shared" si="34"/>
        <v>0</v>
      </c>
      <c r="J54" s="333">
        <f t="shared" si="30"/>
        <v>623.25</v>
      </c>
      <c r="K54" s="165">
        <f t="shared" si="31"/>
        <v>225</v>
      </c>
      <c r="L54" s="286">
        <f t="shared" si="32"/>
        <v>159.3</v>
      </c>
      <c r="M54" s="286">
        <f t="shared" si="35"/>
        <v>203.1075</v>
      </c>
      <c r="N54" s="388"/>
      <c r="O54" s="388"/>
      <c r="P54" s="388"/>
      <c r="Q54" s="254"/>
      <c r="R54" s="254"/>
      <c r="S54" s="254"/>
      <c r="T54" s="254"/>
      <c r="U54" s="321"/>
      <c r="V54" s="321"/>
      <c r="W54" s="321"/>
      <c r="X54" s="323"/>
      <c r="Y54" s="31"/>
      <c r="Z54" s="31"/>
      <c r="AN54" s="1"/>
      <c r="AT54"/>
    </row>
    <row r="55" spans="1:46" ht="12.75">
      <c r="A55" s="276">
        <v>7</v>
      </c>
      <c r="B55" s="164">
        <v>0.1082</v>
      </c>
      <c r="C55" s="350">
        <f t="shared" si="27"/>
        <v>676.25</v>
      </c>
      <c r="D55" s="295">
        <v>0</v>
      </c>
      <c r="E55" s="297">
        <v>0.088</v>
      </c>
      <c r="F55" s="291">
        <f t="shared" si="28"/>
        <v>0</v>
      </c>
      <c r="G55" s="298">
        <f t="shared" si="29"/>
        <v>192.5</v>
      </c>
      <c r="H55" s="312">
        <f t="shared" si="33"/>
        <v>192.5</v>
      </c>
      <c r="I55" s="337">
        <f t="shared" si="34"/>
        <v>0</v>
      </c>
      <c r="J55" s="333">
        <f t="shared" si="30"/>
        <v>605.6999999999999</v>
      </c>
      <c r="K55" s="165">
        <f t="shared" si="31"/>
        <v>240</v>
      </c>
      <c r="L55" s="286">
        <f t="shared" si="32"/>
        <v>146.27999999999997</v>
      </c>
      <c r="M55" s="286">
        <f t="shared" si="35"/>
        <v>186.50699999999995</v>
      </c>
      <c r="N55" s="388"/>
      <c r="O55" s="388"/>
      <c r="P55" s="388"/>
      <c r="Q55" s="324"/>
      <c r="R55" s="324"/>
      <c r="S55" s="324"/>
      <c r="T55" s="324"/>
      <c r="U55" s="325"/>
      <c r="V55" s="325"/>
      <c r="W55" s="325"/>
      <c r="X55" s="323"/>
      <c r="Y55" s="31"/>
      <c r="Z55" s="31"/>
      <c r="AN55" s="1"/>
      <c r="AT55"/>
    </row>
    <row r="56" spans="1:46" ht="12.75">
      <c r="A56" s="276">
        <v>8</v>
      </c>
      <c r="B56" s="164">
        <v>0.1012</v>
      </c>
      <c r="C56" s="350">
        <f t="shared" si="27"/>
        <v>632.5</v>
      </c>
      <c r="D56" s="295">
        <v>0</v>
      </c>
      <c r="E56" s="297">
        <v>0.058</v>
      </c>
      <c r="F56" s="291">
        <f t="shared" si="28"/>
        <v>0</v>
      </c>
      <c r="G56" s="298">
        <f t="shared" si="29"/>
        <v>126.875</v>
      </c>
      <c r="H56" s="312">
        <f t="shared" si="33"/>
        <v>126.875</v>
      </c>
      <c r="I56" s="337">
        <f t="shared" si="34"/>
        <v>0</v>
      </c>
      <c r="J56" s="333">
        <f t="shared" si="30"/>
        <v>553.95</v>
      </c>
      <c r="K56" s="165">
        <f t="shared" si="31"/>
        <v>225</v>
      </c>
      <c r="L56" s="286">
        <f t="shared" si="32"/>
        <v>131.58</v>
      </c>
      <c r="M56" s="286">
        <f t="shared" si="35"/>
        <v>167.76450000000003</v>
      </c>
      <c r="N56" s="388"/>
      <c r="O56" s="388"/>
      <c r="P56" s="388"/>
      <c r="Q56" s="324"/>
      <c r="R56" s="324"/>
      <c r="S56" s="324"/>
      <c r="T56" s="324"/>
      <c r="U56" s="325"/>
      <c r="V56" s="325"/>
      <c r="W56" s="325"/>
      <c r="X56" s="323"/>
      <c r="Y56" s="31"/>
      <c r="Z56" s="31"/>
      <c r="AN56" s="1"/>
      <c r="AT56"/>
    </row>
    <row r="57" spans="1:46" ht="12.75">
      <c r="A57" s="276">
        <v>9</v>
      </c>
      <c r="B57" s="164">
        <v>0.0964</v>
      </c>
      <c r="C57" s="350">
        <f t="shared" si="27"/>
        <v>602.5</v>
      </c>
      <c r="D57" s="295">
        <v>0</v>
      </c>
      <c r="E57" s="297">
        <v>0.084</v>
      </c>
      <c r="F57" s="291">
        <f t="shared" si="28"/>
        <v>0</v>
      </c>
      <c r="G57" s="298">
        <f t="shared" si="29"/>
        <v>183.75</v>
      </c>
      <c r="H57" s="312">
        <f t="shared" si="33"/>
        <v>183.75</v>
      </c>
      <c r="I57" s="337">
        <f t="shared" si="34"/>
        <v>0</v>
      </c>
      <c r="J57" s="333">
        <f t="shared" si="30"/>
        <v>398.25</v>
      </c>
      <c r="K57" s="165">
        <f t="shared" si="31"/>
        <v>255.00000000000003</v>
      </c>
      <c r="L57" s="286">
        <f t="shared" si="32"/>
        <v>57.29999999999999</v>
      </c>
      <c r="M57" s="286">
        <f t="shared" si="35"/>
        <v>73.05749999999999</v>
      </c>
      <c r="N57" s="388"/>
      <c r="O57" s="388"/>
      <c r="P57" s="388"/>
      <c r="Q57" s="434"/>
      <c r="R57" s="434"/>
      <c r="S57" s="434"/>
      <c r="T57" s="434"/>
      <c r="U57" s="434"/>
      <c r="V57" s="321"/>
      <c r="W57" s="321"/>
      <c r="X57" s="322"/>
      <c r="Y57" s="31"/>
      <c r="Z57" s="31"/>
      <c r="AN57" s="1"/>
      <c r="AT57"/>
    </row>
    <row r="58" spans="1:46" ht="12.75">
      <c r="A58" s="276">
        <v>10</v>
      </c>
      <c r="B58" s="164">
        <v>0.081</v>
      </c>
      <c r="C58" s="350">
        <f t="shared" si="27"/>
        <v>506.25</v>
      </c>
      <c r="D58" s="295">
        <v>0.025</v>
      </c>
      <c r="E58" s="297">
        <v>0.088</v>
      </c>
      <c r="F58" s="291">
        <f t="shared" si="28"/>
        <v>78.75</v>
      </c>
      <c r="G58" s="298">
        <f t="shared" si="29"/>
        <v>192.5</v>
      </c>
      <c r="H58" s="312">
        <f t="shared" si="33"/>
        <v>271.25</v>
      </c>
      <c r="I58" s="337">
        <f t="shared" si="34"/>
        <v>0</v>
      </c>
      <c r="J58" s="333">
        <f t="shared" si="30"/>
        <v>288.45000000000005</v>
      </c>
      <c r="K58" s="165">
        <f t="shared" si="31"/>
        <v>255.00000000000003</v>
      </c>
      <c r="L58" s="286">
        <f t="shared" si="32"/>
        <v>13.380000000000008</v>
      </c>
      <c r="M58" s="286">
        <f t="shared" si="35"/>
        <v>17.059500000000007</v>
      </c>
      <c r="N58" s="388"/>
      <c r="O58" s="388"/>
      <c r="P58" s="388"/>
      <c r="AN58" s="1"/>
      <c r="AT58"/>
    </row>
    <row r="59" spans="1:46" ht="12.75">
      <c r="A59" s="276">
        <v>11</v>
      </c>
      <c r="B59" s="164">
        <v>0.0439</v>
      </c>
      <c r="C59" s="350">
        <f t="shared" si="27"/>
        <v>274.375</v>
      </c>
      <c r="D59" s="295">
        <v>0.164</v>
      </c>
      <c r="E59" s="297">
        <v>0.084</v>
      </c>
      <c r="F59" s="291">
        <f t="shared" si="28"/>
        <v>516.6</v>
      </c>
      <c r="G59" s="298">
        <f t="shared" si="29"/>
        <v>183.75</v>
      </c>
      <c r="H59" s="312">
        <f t="shared" si="33"/>
        <v>700.35</v>
      </c>
      <c r="I59" s="337">
        <f t="shared" si="34"/>
        <v>425.975</v>
      </c>
      <c r="J59" s="333">
        <f t="shared" si="30"/>
        <v>155.7</v>
      </c>
      <c r="K59" s="165">
        <f t="shared" si="31"/>
        <v>270</v>
      </c>
      <c r="L59" s="286">
        <f t="shared" si="32"/>
        <v>0</v>
      </c>
      <c r="M59" s="286">
        <f t="shared" si="35"/>
        <v>0</v>
      </c>
      <c r="N59" s="388"/>
      <c r="O59" s="388"/>
      <c r="P59" s="388"/>
      <c r="AN59" s="1"/>
      <c r="AT59"/>
    </row>
    <row r="60" spans="1:46" ht="13.5" thickBot="1">
      <c r="A60" s="282">
        <v>12</v>
      </c>
      <c r="B60" s="166">
        <v>0.0256</v>
      </c>
      <c r="C60" s="351">
        <f t="shared" si="27"/>
        <v>160</v>
      </c>
      <c r="D60" s="303">
        <v>0.276</v>
      </c>
      <c r="E60" s="304">
        <v>0.088</v>
      </c>
      <c r="F60" s="290">
        <f t="shared" si="28"/>
        <v>869.4000000000001</v>
      </c>
      <c r="G60" s="305">
        <f t="shared" si="29"/>
        <v>192.5</v>
      </c>
      <c r="H60" s="313">
        <f t="shared" si="33"/>
        <v>1061.9</v>
      </c>
      <c r="I60" s="338">
        <f t="shared" si="34"/>
        <v>901.9000000000001</v>
      </c>
      <c r="J60" s="334">
        <f t="shared" si="30"/>
        <v>75.14999999999999</v>
      </c>
      <c r="K60" s="167">
        <f t="shared" si="31"/>
        <v>285</v>
      </c>
      <c r="L60" s="287">
        <f t="shared" si="32"/>
        <v>0</v>
      </c>
      <c r="M60" s="286">
        <f>IF(J60&gt;=K60,(J60-K60-L60)*85%,0)</f>
        <v>0</v>
      </c>
      <c r="N60" s="388"/>
      <c r="O60" s="388"/>
      <c r="P60" s="388"/>
      <c r="AN60" s="1"/>
      <c r="AT60"/>
    </row>
    <row r="61" spans="1:46" ht="12.75">
      <c r="A61" s="227"/>
      <c r="B61" s="161">
        <f aca="true" t="shared" si="36" ref="B61:M61">SUM(B49:B60)</f>
        <v>1</v>
      </c>
      <c r="C61" s="239">
        <f t="shared" si="36"/>
        <v>6250</v>
      </c>
      <c r="D61" s="300">
        <f t="shared" si="36"/>
        <v>1</v>
      </c>
      <c r="E61" s="301">
        <f t="shared" si="36"/>
        <v>0.9999999999999999</v>
      </c>
      <c r="F61" s="302">
        <f t="shared" si="36"/>
        <v>3150.0000000000005</v>
      </c>
      <c r="G61" s="314">
        <f t="shared" si="36"/>
        <v>2187.5</v>
      </c>
      <c r="H61" s="315">
        <f t="shared" si="36"/>
        <v>5337.5</v>
      </c>
      <c r="I61" s="314">
        <f t="shared" si="36"/>
        <v>2434.9750000000004</v>
      </c>
      <c r="J61" s="348">
        <f t="shared" si="36"/>
        <v>4499.999999999999</v>
      </c>
      <c r="K61" s="233">
        <f t="shared" si="36"/>
        <v>3000</v>
      </c>
      <c r="L61" s="293">
        <f t="shared" si="36"/>
        <v>822.1199999999999</v>
      </c>
      <c r="M61" s="293">
        <f t="shared" si="36"/>
        <v>1048.2029999999997</v>
      </c>
      <c r="N61" s="389"/>
      <c r="O61" s="389"/>
      <c r="P61" s="389"/>
      <c r="AN61" s="1"/>
      <c r="AT61"/>
    </row>
    <row r="62" spans="1:16" ht="12.75">
      <c r="A62" s="140"/>
      <c r="B62" s="174"/>
      <c r="C62" s="213"/>
      <c r="D62" s="173"/>
      <c r="E62" s="173"/>
      <c r="F62" s="173"/>
      <c r="G62" s="173"/>
      <c r="H62" s="236" t="s">
        <v>141</v>
      </c>
      <c r="I62" s="197">
        <f>I61*M43/100</f>
        <v>148.533475</v>
      </c>
      <c r="J62" s="328" t="s">
        <v>148</v>
      </c>
      <c r="K62" s="234">
        <f>IF(K43="ja",K61*75%,K61)</f>
        <v>2250</v>
      </c>
      <c r="L62" s="173"/>
      <c r="M62" s="173"/>
      <c r="N62" s="173"/>
      <c r="O62" s="173"/>
      <c r="P62" s="173"/>
    </row>
    <row r="63" spans="1:16" ht="12.75">
      <c r="A63" s="140"/>
      <c r="G63" s="274"/>
      <c r="H63" s="320" t="s">
        <v>142</v>
      </c>
      <c r="I63" s="327">
        <f>I61*M44/100</f>
        <v>129.05367500000003</v>
      </c>
      <c r="J63" s="213" t="s">
        <v>99</v>
      </c>
      <c r="K63" s="346">
        <f>(K61-K62)*M8/100</f>
        <v>195</v>
      </c>
      <c r="L63" s="211"/>
      <c r="M63" s="230"/>
      <c r="N63" s="230"/>
      <c r="O63" s="230"/>
      <c r="P63" s="230"/>
    </row>
    <row r="64" spans="1:16" ht="12.75">
      <c r="A64" s="140"/>
      <c r="D64" s="173"/>
      <c r="E64" s="173"/>
      <c r="F64" s="173"/>
      <c r="G64" s="173"/>
      <c r="H64" s="240" t="s">
        <v>164</v>
      </c>
      <c r="I64" s="352">
        <f>I62+K65</f>
        <v>217.74911500000002</v>
      </c>
      <c r="J64" s="240" t="s">
        <v>145</v>
      </c>
      <c r="K64" s="347">
        <f>M61*-M10/100</f>
        <v>-125.78435999999998</v>
      </c>
      <c r="L64" s="211"/>
      <c r="M64" s="175"/>
      <c r="N64" s="175"/>
      <c r="O64" s="175"/>
      <c r="P64" s="175"/>
    </row>
    <row r="65" spans="5:16" ht="13.5" thickBot="1">
      <c r="E65" s="140"/>
      <c r="F65" s="140"/>
      <c r="G65" s="140"/>
      <c r="H65" s="240" t="s">
        <v>152</v>
      </c>
      <c r="I65" s="385">
        <f>I63+K65</f>
        <v>198.26931500000006</v>
      </c>
      <c r="K65" s="344">
        <f>SUM(K63:K64)</f>
        <v>69.21564000000002</v>
      </c>
      <c r="L65" s="211"/>
      <c r="M65" s="211"/>
      <c r="N65" s="211"/>
      <c r="O65" s="211"/>
      <c r="P65" s="211"/>
    </row>
    <row r="66" spans="1:16" ht="13.5" thickBot="1">
      <c r="A66" s="3" t="s">
        <v>174</v>
      </c>
      <c r="E66" s="140"/>
      <c r="F66" s="140"/>
      <c r="G66" s="140"/>
      <c r="H66" s="341" t="str">
        <f>IF(I66&gt;=0,"Minderkosten SEH mit Pellets gegenüber WP mit PV-Strom","Mehrkosten gegenüber Wärmepumpe")</f>
        <v>Minderkosten SEH mit Pellets gegenüber WP mit PV-Strom</v>
      </c>
      <c r="I66" s="386">
        <f>L31-I64</f>
        <v>125.36457590909072</v>
      </c>
      <c r="J66" s="330"/>
      <c r="K66" s="284"/>
      <c r="L66" s="230"/>
      <c r="M66" s="211"/>
      <c r="N66" s="211"/>
      <c r="O66" s="211"/>
      <c r="P66" s="211"/>
    </row>
    <row r="67" spans="1:16" ht="13.5" thickBot="1">
      <c r="A67" s="140"/>
      <c r="B67" s="377" t="s">
        <v>153</v>
      </c>
      <c r="C67" s="378">
        <v>53000</v>
      </c>
      <c r="D67" s="140"/>
      <c r="E67" s="140"/>
      <c r="F67" s="140"/>
      <c r="G67" s="140"/>
      <c r="H67" s="341" t="str">
        <f>IF(I67&gt;=0,"Minderkosten SEH mit Erdgas gegenüber WP mit PV-Strom","Mehrkosten gegenüber Wärmepumpe")</f>
        <v>Minderkosten SEH mit Erdgas gegenüber WP mit PV-Strom</v>
      </c>
      <c r="I67" s="342">
        <f>L31-I65</f>
        <v>144.84437590909067</v>
      </c>
      <c r="J67" s="241"/>
      <c r="K67" s="241"/>
      <c r="L67" s="241"/>
      <c r="M67" s="230"/>
      <c r="N67" s="230"/>
      <c r="O67" s="230"/>
      <c r="P67" s="230"/>
    </row>
    <row r="68" spans="1:16" ht="12.75">
      <c r="A68" s="140"/>
      <c r="B68" s="194" t="s">
        <v>154</v>
      </c>
      <c r="C68" s="378">
        <v>-20000</v>
      </c>
      <c r="D68" s="140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2:4" ht="13.5" thickBot="1">
      <c r="B69" s="194" t="s">
        <v>155</v>
      </c>
      <c r="C69" s="379">
        <v>-15000</v>
      </c>
      <c r="D69" s="140"/>
    </row>
    <row r="70" spans="2:16" ht="13.5" thickBot="1">
      <c r="B70" s="194" t="s">
        <v>156</v>
      </c>
      <c r="C70" s="380">
        <f>SUM(C67:C69)</f>
        <v>18000</v>
      </c>
      <c r="D70" s="381" t="s">
        <v>175</v>
      </c>
      <c r="E70" s="339"/>
      <c r="F70" s="339"/>
      <c r="G70" s="339"/>
      <c r="H70" s="339"/>
      <c r="I70" s="339"/>
      <c r="J70" s="339"/>
      <c r="K70" s="339"/>
      <c r="L70" s="339"/>
      <c r="M70" s="339"/>
      <c r="N70" s="49"/>
      <c r="O70" s="49"/>
      <c r="P70" s="49"/>
    </row>
  </sheetData>
  <sheetProtection password="CC77" sheet="1" objects="1" scenarios="1"/>
  <mergeCells count="27">
    <mergeCell ref="D48:E48"/>
    <mergeCell ref="Q57:U57"/>
    <mergeCell ref="J47:M47"/>
    <mergeCell ref="A47:I47"/>
    <mergeCell ref="A38:H38"/>
    <mergeCell ref="A46:M46"/>
    <mergeCell ref="D24:E24"/>
    <mergeCell ref="D25:E25"/>
    <mergeCell ref="D26:E26"/>
    <mergeCell ref="D20:E20"/>
    <mergeCell ref="D21:E21"/>
    <mergeCell ref="D22:E22"/>
    <mergeCell ref="D23:E23"/>
    <mergeCell ref="D16:E16"/>
    <mergeCell ref="D17:E17"/>
    <mergeCell ref="D18:E18"/>
    <mergeCell ref="D19:E19"/>
    <mergeCell ref="AT11:AT12"/>
    <mergeCell ref="D13:E13"/>
    <mergeCell ref="D14:E14"/>
    <mergeCell ref="D15:E15"/>
    <mergeCell ref="K11:L11"/>
    <mergeCell ref="AS10:AS12"/>
    <mergeCell ref="AL5:AL6"/>
    <mergeCell ref="A12:M12"/>
    <mergeCell ref="Z11:AA11"/>
    <mergeCell ref="Z10:AA10"/>
  </mergeCells>
  <conditionalFormatting sqref="AC13:AC24 AB13:AB25 C49:C60 AA14:AA25">
    <cfRule type="cellIs" priority="1" dxfId="0" operator="equal" stopIfTrue="1">
      <formula>"minimal"</formula>
    </cfRule>
    <cfRule type="cellIs" priority="2" dxfId="1" operator="equal" stopIfTrue="1">
      <formula>"ja"</formula>
    </cfRule>
  </conditionalFormatting>
  <conditionalFormatting sqref="I66:I67">
    <cfRule type="cellIs" priority="3" dxfId="2" operator="greaterThan" stopIfTrue="1">
      <formula>0</formula>
    </cfRule>
    <cfRule type="cellIs" priority="4" dxfId="3" operator="lessThan" stopIfTrue="1">
      <formula>0</formula>
    </cfRule>
  </conditionalFormatting>
  <dataValidations count="2">
    <dataValidation type="list" allowBlank="1" showInputMessage="1" showErrorMessage="1" sqref="J5">
      <formula1>$X$14:$X$20</formula1>
    </dataValidation>
    <dataValidation type="list" allowBlank="1" showInputMessage="1" showErrorMessage="1" sqref="C9 J8">
      <formula1>$AE$11:$AE$12</formula1>
    </dataValidation>
  </dataValidations>
  <printOptions/>
  <pageMargins left="0.4724409448818898" right="0.1968503937007874" top="0.4" bottom="0.31496062992125984" header="0.2362204724409449" footer="0.31496062992125984"/>
  <pageSetup horizontalDpi="1200" verticalDpi="1200" orientation="landscape" paperSize="9" r:id="rId4"/>
  <headerFooter alignWithMargins="0">
    <oddHeader>&amp;R&amp;9
</oddHeader>
    <oddFooter>&amp;L&amp;9ReSys AG
Regenerative EnergieSysteme
Version 1.2&amp;C&amp;9Am Hohberg 3b
79112 Freiburg
www.resys-ag.de&amp;R&amp;9Tel. 076.65.93.93.300
Fax 076.65.93.93.301
info@resys-ag.de</oddFooter>
  </headerFooter>
  <rowBreaks count="1" manualBreakCount="1">
    <brk id="3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0">
      <selection activeCell="I52" sqref="I52"/>
    </sheetView>
  </sheetViews>
  <sheetFormatPr defaultColWidth="11.421875" defaultRowHeight="12.75"/>
  <cols>
    <col min="1" max="1" width="26.421875" style="0" customWidth="1"/>
    <col min="2" max="2" width="6.8515625" style="0" customWidth="1"/>
    <col min="3" max="3" width="9.57421875" style="0" customWidth="1"/>
    <col min="4" max="7" width="12.7109375" style="0" customWidth="1"/>
    <col min="8" max="8" width="12.421875" style="0" customWidth="1"/>
  </cols>
  <sheetData>
    <row r="1" spans="1:3" ht="30.75" customHeight="1">
      <c r="A1" s="28" t="s">
        <v>16</v>
      </c>
      <c r="B1" s="28"/>
      <c r="C1" s="28"/>
    </row>
    <row r="2" spans="1:3" ht="15.75">
      <c r="A2" s="29" t="s">
        <v>17</v>
      </c>
      <c r="B2" s="29"/>
      <c r="C2" s="29"/>
    </row>
    <row r="3" spans="1:3" ht="9.75" customHeight="1">
      <c r="A3" s="29"/>
      <c r="B3" s="29"/>
      <c r="C3" s="29"/>
    </row>
    <row r="4" spans="1:3" ht="12.75" customHeight="1">
      <c r="A4" s="7" t="s">
        <v>18</v>
      </c>
      <c r="B4" s="7"/>
      <c r="C4" s="7"/>
    </row>
    <row r="5" spans="1:3" ht="12.75" customHeight="1">
      <c r="A5" s="7" t="s">
        <v>19</v>
      </c>
      <c r="B5" s="7"/>
      <c r="C5" s="7"/>
    </row>
    <row r="6" spans="1:3" ht="12.75" customHeight="1">
      <c r="A6" s="7" t="s">
        <v>20</v>
      </c>
      <c r="B6" s="7"/>
      <c r="C6" s="7"/>
    </row>
    <row r="7" spans="1:3" ht="12.75" customHeight="1">
      <c r="A7" s="7" t="s">
        <v>21</v>
      </c>
      <c r="B7" s="7"/>
      <c r="C7" s="7"/>
    </row>
    <row r="8" spans="1:6" ht="12.75" customHeight="1">
      <c r="A8" s="7" t="s">
        <v>22</v>
      </c>
      <c r="B8" s="7"/>
      <c r="C8" s="7"/>
      <c r="D8" s="30"/>
      <c r="E8" s="30"/>
      <c r="F8" s="31"/>
    </row>
    <row r="9" spans="1:6" ht="12.75" customHeight="1">
      <c r="A9" s="7" t="s">
        <v>23</v>
      </c>
      <c r="B9" s="7"/>
      <c r="C9" s="7"/>
      <c r="D9" s="30"/>
      <c r="E9" s="30"/>
      <c r="F9" s="31"/>
    </row>
    <row r="10" spans="1:6" ht="12.75" customHeight="1">
      <c r="A10" s="6" t="s">
        <v>24</v>
      </c>
      <c r="B10" s="7"/>
      <c r="C10" s="7"/>
      <c r="D10" s="30"/>
      <c r="E10" s="30"/>
      <c r="F10" s="31"/>
    </row>
    <row r="11" spans="1:6" ht="8.25" customHeight="1">
      <c r="A11" s="7"/>
      <c r="B11" s="7"/>
      <c r="C11" s="7"/>
      <c r="D11" s="30"/>
      <c r="E11" s="30"/>
      <c r="F11" s="31"/>
    </row>
    <row r="12" spans="1:7" ht="12" customHeight="1">
      <c r="A12" s="7"/>
      <c r="B12" s="7"/>
      <c r="C12" s="7"/>
      <c r="D12" s="447" t="s">
        <v>25</v>
      </c>
      <c r="E12" s="447"/>
      <c r="F12" s="448" t="s">
        <v>26</v>
      </c>
      <c r="G12" s="448"/>
    </row>
    <row r="13" spans="1:7" ht="12.75">
      <c r="A13" s="3"/>
      <c r="B13" s="3"/>
      <c r="C13" s="3"/>
      <c r="D13" s="449" t="s">
        <v>27</v>
      </c>
      <c r="E13" s="450"/>
      <c r="F13" s="451" t="s">
        <v>28</v>
      </c>
      <c r="G13" s="452"/>
    </row>
    <row r="14" spans="1:7" ht="12.75">
      <c r="A14" s="3" t="s">
        <v>29</v>
      </c>
      <c r="B14" s="3"/>
      <c r="C14" s="3"/>
      <c r="D14" s="32">
        <v>10</v>
      </c>
      <c r="E14" s="33"/>
      <c r="F14" s="34">
        <v>4.5</v>
      </c>
      <c r="G14" s="35"/>
    </row>
    <row r="15" spans="1:7" ht="12.75">
      <c r="A15" s="3" t="s">
        <v>30</v>
      </c>
      <c r="B15" s="3"/>
      <c r="C15" s="3"/>
      <c r="D15" s="36">
        <v>1600</v>
      </c>
      <c r="E15" s="37"/>
      <c r="F15" s="38">
        <v>1700</v>
      </c>
      <c r="G15" s="39"/>
    </row>
    <row r="16" spans="1:7" ht="12.75">
      <c r="A16" s="3" t="s">
        <v>31</v>
      </c>
      <c r="B16" s="3"/>
      <c r="C16" s="3"/>
      <c r="D16" s="40">
        <v>1000</v>
      </c>
      <c r="E16" s="41"/>
      <c r="F16" s="42">
        <v>1000</v>
      </c>
      <c r="G16" s="43"/>
    </row>
    <row r="17" spans="1:7" ht="12.75">
      <c r="A17" s="3" t="s">
        <v>32</v>
      </c>
      <c r="B17" s="3"/>
      <c r="C17" s="3"/>
      <c r="D17" s="44">
        <f>D14*D16</f>
        <v>10000</v>
      </c>
      <c r="E17" s="41"/>
      <c r="F17" s="45">
        <f>F14*F16</f>
        <v>4500</v>
      </c>
      <c r="G17" s="43"/>
    </row>
    <row r="18" spans="1:7" ht="12.75">
      <c r="A18" s="3" t="s">
        <v>33</v>
      </c>
      <c r="B18" s="3"/>
      <c r="C18" s="3"/>
      <c r="D18" s="44">
        <f>D17*0.7</f>
        <v>7000</v>
      </c>
      <c r="E18" s="46">
        <f>D19*D18</f>
        <v>840</v>
      </c>
      <c r="F18" s="438" t="s">
        <v>34</v>
      </c>
      <c r="G18" s="439"/>
    </row>
    <row r="19" spans="1:9" ht="12.75">
      <c r="A19" s="3" t="s">
        <v>35</v>
      </c>
      <c r="B19" s="3"/>
      <c r="C19" s="3"/>
      <c r="D19" s="47">
        <v>0.12</v>
      </c>
      <c r="E19" s="48"/>
      <c r="F19" s="440"/>
      <c r="G19" s="441"/>
      <c r="I19" s="49"/>
    </row>
    <row r="20" spans="1:7" ht="12.75">
      <c r="A20" s="3" t="s">
        <v>36</v>
      </c>
      <c r="B20" s="3"/>
      <c r="C20" s="3"/>
      <c r="D20" s="50">
        <v>0.25</v>
      </c>
      <c r="E20" s="48"/>
      <c r="F20" s="51">
        <v>0.8</v>
      </c>
      <c r="G20" s="43"/>
    </row>
    <row r="21" spans="1:7" ht="12.75">
      <c r="A21" s="3" t="s">
        <v>37</v>
      </c>
      <c r="B21" s="3"/>
      <c r="C21" s="3"/>
      <c r="D21" s="52">
        <f>D34*D20</f>
        <v>1000</v>
      </c>
      <c r="E21" s="53"/>
      <c r="F21" s="54">
        <f>F17*F20</f>
        <v>3600</v>
      </c>
      <c r="G21" s="55"/>
    </row>
    <row r="22" spans="1:10" ht="12.75">
      <c r="A22" s="3" t="s">
        <v>38</v>
      </c>
      <c r="B22" s="3"/>
      <c r="C22" s="56">
        <v>16.5</v>
      </c>
      <c r="D22" s="52"/>
      <c r="E22" s="48"/>
      <c r="F22" s="57">
        <f>IF(C22&lt;=16,I24*C22,IF(C22&gt;=16,I23*C22,IF(C22&gt;=17,I22*C22)))</f>
        <v>6600</v>
      </c>
      <c r="G22" s="43"/>
      <c r="I22" s="58">
        <v>380</v>
      </c>
      <c r="J22" s="21" t="s">
        <v>39</v>
      </c>
    </row>
    <row r="23" spans="1:10" ht="12.75">
      <c r="A23" s="3" t="s">
        <v>40</v>
      </c>
      <c r="B23" s="444">
        <v>0.26</v>
      </c>
      <c r="C23" s="445"/>
      <c r="D23" s="59"/>
      <c r="E23" s="60"/>
      <c r="F23" s="61">
        <f>B23</f>
        <v>0.26</v>
      </c>
      <c r="G23" s="62"/>
      <c r="I23" s="58">
        <v>400</v>
      </c>
      <c r="J23" s="21" t="s">
        <v>41</v>
      </c>
    </row>
    <row r="24" spans="1:10" ht="12.75">
      <c r="A24" s="63" t="s">
        <v>42</v>
      </c>
      <c r="B24" s="64"/>
      <c r="C24" s="64"/>
      <c r="D24" s="64"/>
      <c r="E24" s="65">
        <f>SUM(E14:E23)</f>
        <v>840</v>
      </c>
      <c r="F24" s="3"/>
      <c r="G24" s="66">
        <f>G21</f>
        <v>0</v>
      </c>
      <c r="I24" s="58">
        <v>420</v>
      </c>
      <c r="J24" s="21" t="s">
        <v>43</v>
      </c>
    </row>
    <row r="25" spans="1:7" ht="5.25" customHeight="1">
      <c r="A25" s="3"/>
      <c r="B25" s="3"/>
      <c r="C25" s="3"/>
      <c r="D25" s="3"/>
      <c r="E25" s="3"/>
      <c r="F25" s="4"/>
      <c r="G25" s="3"/>
    </row>
    <row r="26" spans="2:7" ht="15" customHeight="1">
      <c r="B26" s="3"/>
      <c r="C26" s="3"/>
      <c r="D26" s="446" t="s">
        <v>44</v>
      </c>
      <c r="E26" s="446"/>
      <c r="F26" s="446"/>
      <c r="G26" s="446"/>
    </row>
    <row r="27" spans="1:9" ht="12.75">
      <c r="A27" s="6" t="s">
        <v>45</v>
      </c>
      <c r="B27" s="3"/>
      <c r="C27" s="3"/>
      <c r="D27" s="67">
        <v>10000</v>
      </c>
      <c r="E27" s="33"/>
      <c r="F27" s="68">
        <f>D27</f>
        <v>10000</v>
      </c>
      <c r="G27" s="35"/>
      <c r="H27" s="21"/>
      <c r="I27" s="69"/>
    </row>
    <row r="28" spans="1:9" ht="12.75">
      <c r="A28" s="3" t="s">
        <v>46</v>
      </c>
      <c r="B28" s="3"/>
      <c r="C28" s="3"/>
      <c r="D28" s="52"/>
      <c r="E28" s="41"/>
      <c r="F28" s="54">
        <f>F22</f>
        <v>6600</v>
      </c>
      <c r="G28" s="70">
        <f>F28*D31</f>
        <v>0</v>
      </c>
      <c r="H28" s="21"/>
      <c r="I28" s="69"/>
    </row>
    <row r="29" spans="1:9" ht="12.75">
      <c r="A29" s="3" t="s">
        <v>47</v>
      </c>
      <c r="B29" s="3"/>
      <c r="C29" s="3"/>
      <c r="D29" s="71" t="s">
        <v>48</v>
      </c>
      <c r="E29" s="72"/>
      <c r="F29" s="73">
        <f>F27-F28-F31</f>
        <v>1000</v>
      </c>
      <c r="G29" s="70">
        <f>F29*B23</f>
        <v>260</v>
      </c>
      <c r="H29" s="21"/>
      <c r="I29" s="69"/>
    </row>
    <row r="30" spans="1:7" ht="12.75">
      <c r="A30" s="3" t="s">
        <v>49</v>
      </c>
      <c r="B30" s="74">
        <v>2</v>
      </c>
      <c r="C30" s="75">
        <f>B30*450</f>
        <v>900</v>
      </c>
      <c r="D30" s="76">
        <f>B30*1200</f>
        <v>2400</v>
      </c>
      <c r="E30" s="77">
        <f>D30*B32</f>
        <v>168.00000000000003</v>
      </c>
      <c r="F30" s="78"/>
      <c r="G30" s="43"/>
    </row>
    <row r="31" spans="1:9" ht="12.75">
      <c r="A31" s="3" t="s">
        <v>50</v>
      </c>
      <c r="B31" s="74">
        <v>2</v>
      </c>
      <c r="C31" s="75">
        <f>B31*450</f>
        <v>900</v>
      </c>
      <c r="D31" s="52"/>
      <c r="E31" s="79"/>
      <c r="F31" s="80">
        <f>B31*1200</f>
        <v>2400</v>
      </c>
      <c r="G31" s="70">
        <f>F31*B32</f>
        <v>168.00000000000003</v>
      </c>
      <c r="I31" s="81"/>
    </row>
    <row r="32" spans="1:7" ht="12.75">
      <c r="A32" s="3" t="s">
        <v>51</v>
      </c>
      <c r="B32" s="442">
        <v>0.07</v>
      </c>
      <c r="C32" s="443"/>
      <c r="E32" s="41"/>
      <c r="F32" s="78"/>
      <c r="G32" s="82"/>
    </row>
    <row r="33" spans="1:7" ht="12.75">
      <c r="A33" s="3" t="s">
        <v>52</v>
      </c>
      <c r="B33" s="83"/>
      <c r="C33" s="83"/>
      <c r="D33" s="52">
        <f>D27-D30</f>
        <v>7600</v>
      </c>
      <c r="E33" s="77">
        <f>D33*B23</f>
        <v>1976</v>
      </c>
      <c r="F33" s="78"/>
      <c r="G33" s="82"/>
    </row>
    <row r="34" spans="1:7" ht="12.75">
      <c r="A34" s="6" t="s">
        <v>53</v>
      </c>
      <c r="B34" s="3"/>
      <c r="C34" s="3"/>
      <c r="D34" s="84">
        <v>4000</v>
      </c>
      <c r="E34" s="41"/>
      <c r="F34" s="85">
        <f>D34</f>
        <v>4000</v>
      </c>
      <c r="G34" s="55"/>
    </row>
    <row r="35" spans="1:7" ht="12.75">
      <c r="A35" s="3" t="s">
        <v>54</v>
      </c>
      <c r="B35" s="3"/>
      <c r="C35" s="3"/>
      <c r="D35" s="52">
        <f>D21</f>
        <v>1000</v>
      </c>
      <c r="E35" s="41"/>
      <c r="F35" s="54">
        <f>F21</f>
        <v>3600</v>
      </c>
      <c r="G35" s="43"/>
    </row>
    <row r="36" spans="1:7" ht="12.75">
      <c r="A36" s="3" t="s">
        <v>55</v>
      </c>
      <c r="B36" s="3"/>
      <c r="C36" s="3"/>
      <c r="D36" s="52">
        <f>D34-D35</f>
        <v>3000</v>
      </c>
      <c r="E36" s="72">
        <f>D36*B23</f>
        <v>780</v>
      </c>
      <c r="F36" s="54">
        <f>F34-F35</f>
        <v>400</v>
      </c>
      <c r="G36" s="86">
        <f>F36*B23</f>
        <v>104</v>
      </c>
    </row>
    <row r="37" spans="1:7" ht="12.75">
      <c r="A37" s="3" t="s">
        <v>35</v>
      </c>
      <c r="B37" s="87"/>
      <c r="C37" s="88"/>
      <c r="D37" s="89"/>
      <c r="E37" s="90">
        <f>-E18</f>
        <v>-840</v>
      </c>
      <c r="F37" s="91"/>
      <c r="G37" s="92">
        <v>0</v>
      </c>
    </row>
    <row r="38" spans="1:7" ht="12.75">
      <c r="A38" s="93" t="s">
        <v>56</v>
      </c>
      <c r="B38" s="94"/>
      <c r="C38" s="94"/>
      <c r="D38" s="95"/>
      <c r="E38" s="65">
        <f>SUM(E29:E37)</f>
        <v>2084</v>
      </c>
      <c r="F38" s="4"/>
      <c r="G38" s="96">
        <f>SUM(G28:G37)</f>
        <v>532</v>
      </c>
    </row>
    <row r="39" spans="1:7" ht="4.5" customHeight="1">
      <c r="A39" s="3"/>
      <c r="B39" s="3"/>
      <c r="C39" s="3"/>
      <c r="D39" s="3"/>
      <c r="E39" s="3"/>
      <c r="F39" s="3"/>
      <c r="G39" s="3"/>
    </row>
    <row r="40" spans="1:7" ht="12.75">
      <c r="A40" s="97" t="s">
        <v>57</v>
      </c>
      <c r="B40" s="97"/>
      <c r="C40" s="97"/>
      <c r="D40" s="3"/>
      <c r="E40" s="3"/>
      <c r="F40" s="3"/>
      <c r="G40" s="3"/>
    </row>
    <row r="41" spans="1:7" ht="12.75">
      <c r="A41" s="3" t="s">
        <v>58</v>
      </c>
      <c r="B41" s="3"/>
      <c r="C41" s="3"/>
      <c r="D41" s="3"/>
      <c r="E41" s="98">
        <v>10000</v>
      </c>
      <c r="F41" s="99"/>
      <c r="G41" s="100">
        <f>E41</f>
        <v>10000</v>
      </c>
    </row>
    <row r="42" spans="1:7" ht="12.75">
      <c r="A42" s="3" t="s">
        <v>59</v>
      </c>
      <c r="B42" s="3"/>
      <c r="C42" s="3"/>
      <c r="D42" s="3"/>
      <c r="E42" s="101" t="s">
        <v>48</v>
      </c>
      <c r="F42" s="99"/>
      <c r="G42" s="102">
        <v>10000</v>
      </c>
    </row>
    <row r="43" spans="1:7" ht="12.75">
      <c r="A43" s="3" t="s">
        <v>60</v>
      </c>
      <c r="B43" s="3"/>
      <c r="C43" s="3"/>
      <c r="E43" s="101">
        <f>D14*D15</f>
        <v>16000</v>
      </c>
      <c r="F43" s="49"/>
      <c r="G43" s="101">
        <f>F14*F15</f>
        <v>7650</v>
      </c>
    </row>
    <row r="44" spans="1:7" ht="12.75">
      <c r="A44" s="3" t="s">
        <v>61</v>
      </c>
      <c r="B44" s="3"/>
      <c r="C44" s="3"/>
      <c r="D44" s="3"/>
      <c r="E44" s="103"/>
      <c r="F44" s="99"/>
      <c r="G44" s="104">
        <v>11000</v>
      </c>
    </row>
    <row r="45" spans="1:7" ht="12.75">
      <c r="A45" s="105" t="s">
        <v>62</v>
      </c>
      <c r="B45" s="106"/>
      <c r="C45" s="106"/>
      <c r="D45" s="106"/>
      <c r="E45" s="107">
        <f>SUM(E41:E44)</f>
        <v>26000</v>
      </c>
      <c r="F45" s="99"/>
      <c r="G45" s="107">
        <f>SUM(G41:G44)</f>
        <v>38650</v>
      </c>
    </row>
    <row r="46" spans="1:7" ht="5.25" customHeight="1">
      <c r="A46" s="3"/>
      <c r="B46" s="3"/>
      <c r="C46" s="3"/>
      <c r="D46" s="3"/>
      <c r="E46" s="99"/>
      <c r="F46" s="99"/>
      <c r="G46" s="99"/>
    </row>
    <row r="47" spans="1:7" ht="12.75">
      <c r="A47" s="3" t="s">
        <v>63</v>
      </c>
      <c r="B47" s="108">
        <v>0.03</v>
      </c>
      <c r="C47" s="3" t="s">
        <v>64</v>
      </c>
      <c r="D47" s="3"/>
      <c r="E47" s="109">
        <f>PMT(B47,10,E45,0,1)</f>
        <v>-2959.2166715865533</v>
      </c>
      <c r="F47" s="109"/>
      <c r="G47" s="109">
        <f>PMT(B47,10,G45,0,1)</f>
        <v>-4398.989398339241</v>
      </c>
    </row>
    <row r="48" spans="1:7" ht="12.75">
      <c r="A48" s="3" t="s">
        <v>65</v>
      </c>
      <c r="B48" s="3"/>
      <c r="C48" s="3"/>
      <c r="D48" s="3"/>
      <c r="E48" s="109">
        <f>-E38</f>
        <v>-2084</v>
      </c>
      <c r="F48" s="110"/>
      <c r="G48" s="109">
        <f>-G38</f>
        <v>-532</v>
      </c>
    </row>
    <row r="49" spans="1:7" ht="12.75">
      <c r="A49" s="111" t="s">
        <v>66</v>
      </c>
      <c r="B49" s="112"/>
      <c r="C49" s="112"/>
      <c r="D49" s="112"/>
      <c r="E49" s="113">
        <f>SUM(E47:E48)</f>
        <v>-5043.216671586553</v>
      </c>
      <c r="F49" s="110"/>
      <c r="G49" s="114">
        <f>SUM(G47:G48)</f>
        <v>-4930.989398339241</v>
      </c>
    </row>
    <row r="50" spans="1:7" ht="12.75">
      <c r="A50" s="3" t="s">
        <v>67</v>
      </c>
      <c r="B50" s="3"/>
      <c r="C50" s="3"/>
      <c r="D50" s="3"/>
      <c r="E50" s="115">
        <f>E49/12</f>
        <v>-420.2680559655461</v>
      </c>
      <c r="F50" s="116"/>
      <c r="G50" s="115">
        <f>G49/12</f>
        <v>-410.91578319493675</v>
      </c>
    </row>
    <row r="51" ht="6" customHeight="1">
      <c r="A51" s="94"/>
    </row>
    <row r="52" spans="1:3" ht="12.75">
      <c r="A52" s="6" t="s">
        <v>68</v>
      </c>
      <c r="B52" s="11"/>
      <c r="C52" s="11"/>
    </row>
    <row r="53" spans="1:3" ht="12.75">
      <c r="A53" s="6" t="s">
        <v>69</v>
      </c>
      <c r="B53" s="11"/>
      <c r="C53" s="11"/>
    </row>
    <row r="54" spans="1:3" ht="12.75">
      <c r="A54" s="6" t="s">
        <v>70</v>
      </c>
      <c r="B54" s="11"/>
      <c r="C54" s="11"/>
    </row>
    <row r="55" spans="1:3" ht="9.75" customHeight="1">
      <c r="A55" s="6"/>
      <c r="B55" s="117"/>
      <c r="C55" s="117"/>
    </row>
    <row r="56" ht="12.75">
      <c r="A56" s="7" t="s">
        <v>71</v>
      </c>
    </row>
    <row r="57" ht="12.75">
      <c r="A57" s="7" t="s">
        <v>72</v>
      </c>
    </row>
    <row r="58" ht="12.75">
      <c r="A58" s="7" t="s">
        <v>73</v>
      </c>
    </row>
    <row r="59" ht="12.75">
      <c r="A59" s="7" t="s">
        <v>74</v>
      </c>
    </row>
    <row r="60" spans="1:3" ht="12.75">
      <c r="A60" s="6" t="s">
        <v>75</v>
      </c>
      <c r="B60" s="11"/>
      <c r="C60" s="11"/>
    </row>
    <row r="61" spans="1:3" ht="12.75">
      <c r="A61" s="6" t="s">
        <v>76</v>
      </c>
      <c r="B61" s="6"/>
      <c r="C61" s="6"/>
    </row>
    <row r="62" spans="1:7" ht="12.75">
      <c r="A62" s="12"/>
      <c r="B62" s="12"/>
      <c r="C62" s="12"/>
      <c r="D62" s="12"/>
      <c r="E62" s="12"/>
      <c r="F62" s="12"/>
      <c r="G62" s="12"/>
    </row>
  </sheetData>
  <sheetProtection/>
  <mergeCells count="8">
    <mergeCell ref="D12:E12"/>
    <mergeCell ref="F12:G12"/>
    <mergeCell ref="D13:E13"/>
    <mergeCell ref="F13:G13"/>
    <mergeCell ref="F18:G19"/>
    <mergeCell ref="B32:C32"/>
    <mergeCell ref="B23:C23"/>
    <mergeCell ref="D26:G26"/>
  </mergeCells>
  <conditionalFormatting sqref="F29">
    <cfRule type="cellIs" priority="1" dxfId="4" operator="lessThan" stopIfTrue="1">
      <formula>0</formula>
    </cfRule>
  </conditionalFormatting>
  <conditionalFormatting sqref="G50">
    <cfRule type="cellIs" priority="2" dxfId="5" operator="greaterThan" stopIfTrue="1">
      <formula>$E$50</formula>
    </cfRule>
  </conditionalFormatting>
  <conditionalFormatting sqref="E50">
    <cfRule type="cellIs" priority="3" dxfId="0" operator="lessThan" stopIfTrue="1">
      <formula>$G$50</formula>
    </cfRule>
  </conditionalFormatting>
  <printOptions/>
  <pageMargins left="0.5905511811023623" right="0.3937007874015748" top="0.3937007874015748" bottom="0.3937007874015748" header="0.5118110236220472" footer="0.5118110236220472"/>
  <pageSetup horizontalDpi="1200" verticalDpi="1200" orientation="portrait" paperSize="9" r:id="rId4"/>
  <headerFooter alignWithMargins="0">
    <oddFooter>&amp;L&amp;9ReSys AG im solar info center
Emmy-Noether-Str. 110  - 79110 Freiburg&amp;C&amp;9Tel. 0761.40.11.441
Fx 0761.40.11.442&amp;R&amp;9www.resys-ag.de
info@resys-ag.de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3">
      <selection activeCell="G69" sqref="G69"/>
    </sheetView>
  </sheetViews>
  <sheetFormatPr defaultColWidth="11.421875" defaultRowHeight="12.75"/>
  <cols>
    <col min="1" max="1" width="26.421875" style="0" customWidth="1"/>
    <col min="2" max="2" width="6.8515625" style="0" customWidth="1"/>
    <col min="3" max="3" width="9.57421875" style="0" customWidth="1"/>
    <col min="4" max="7" width="12.7109375" style="0" customWidth="1"/>
    <col min="8" max="8" width="12.421875" style="0" customWidth="1"/>
  </cols>
  <sheetData>
    <row r="1" spans="1:3" ht="30.75" customHeight="1">
      <c r="A1" s="28" t="s">
        <v>16</v>
      </c>
      <c r="B1" s="28"/>
      <c r="C1" s="28"/>
    </row>
    <row r="2" spans="1:3" ht="15.75">
      <c r="A2" s="29" t="s">
        <v>77</v>
      </c>
      <c r="B2" s="29"/>
      <c r="C2" s="29"/>
    </row>
    <row r="3" spans="1:3" ht="9.75" customHeight="1">
      <c r="A3" s="29"/>
      <c r="B3" s="29"/>
      <c r="C3" s="29"/>
    </row>
    <row r="4" spans="1:3" ht="12.75" customHeight="1">
      <c r="A4" s="7" t="s">
        <v>18</v>
      </c>
      <c r="B4" s="7"/>
      <c r="C4" s="7"/>
    </row>
    <row r="5" spans="1:3" ht="12.75" customHeight="1">
      <c r="A5" s="7" t="s">
        <v>78</v>
      </c>
      <c r="B5" s="7"/>
      <c r="C5" s="7"/>
    </row>
    <row r="6" spans="1:3" ht="12.75" customHeight="1">
      <c r="A6" s="7" t="s">
        <v>79</v>
      </c>
      <c r="B6" s="7"/>
      <c r="C6" s="7"/>
    </row>
    <row r="7" spans="1:3" ht="12.75" customHeight="1">
      <c r="A7" s="7" t="s">
        <v>80</v>
      </c>
      <c r="B7" s="7"/>
      <c r="C7" s="7"/>
    </row>
    <row r="8" spans="1:6" ht="12.75" customHeight="1">
      <c r="A8" s="7" t="s">
        <v>81</v>
      </c>
      <c r="B8" s="7"/>
      <c r="C8" s="7"/>
      <c r="D8" s="30"/>
      <c r="E8" s="30"/>
      <c r="F8" s="31"/>
    </row>
    <row r="9" spans="1:6" ht="12.75" customHeight="1">
      <c r="A9" s="7" t="s">
        <v>82</v>
      </c>
      <c r="B9" s="7"/>
      <c r="C9" s="7"/>
      <c r="D9" s="30"/>
      <c r="E9" s="30"/>
      <c r="F9" s="31"/>
    </row>
    <row r="10" spans="1:6" ht="12.75" customHeight="1">
      <c r="A10" s="6" t="s">
        <v>24</v>
      </c>
      <c r="B10" s="7"/>
      <c r="C10" s="7"/>
      <c r="D10" s="30"/>
      <c r="E10" s="30"/>
      <c r="F10" s="31"/>
    </row>
    <row r="11" spans="1:6" ht="8.25" customHeight="1">
      <c r="A11" s="7"/>
      <c r="B11" s="7"/>
      <c r="C11" s="7"/>
      <c r="D11" s="30"/>
      <c r="E11" s="30"/>
      <c r="F11" s="31"/>
    </row>
    <row r="12" spans="1:7" ht="12" customHeight="1">
      <c r="A12" s="7"/>
      <c r="B12" s="7"/>
      <c r="C12" s="7"/>
      <c r="D12" s="447" t="s">
        <v>25</v>
      </c>
      <c r="E12" s="447"/>
      <c r="F12" s="448" t="s">
        <v>26</v>
      </c>
      <c r="G12" s="448"/>
    </row>
    <row r="13" spans="1:7" ht="12.75">
      <c r="A13" s="3"/>
      <c r="B13" s="3"/>
      <c r="C13" s="3"/>
      <c r="D13" s="449" t="s">
        <v>27</v>
      </c>
      <c r="E13" s="453"/>
      <c r="F13" s="454" t="s">
        <v>28</v>
      </c>
      <c r="G13" s="452"/>
    </row>
    <row r="14" spans="1:7" ht="12.75">
      <c r="A14" s="3" t="s">
        <v>29</v>
      </c>
      <c r="B14" s="3"/>
      <c r="C14" s="3"/>
      <c r="D14" s="32">
        <v>10</v>
      </c>
      <c r="E14" s="118">
        <f>D14/1.5*10</f>
        <v>66.66666666666667</v>
      </c>
      <c r="F14" s="34">
        <v>4.5</v>
      </c>
      <c r="G14" s="119">
        <f>F14/1.5*10</f>
        <v>30</v>
      </c>
    </row>
    <row r="15" spans="1:7" ht="12.75">
      <c r="A15" s="3" t="s">
        <v>30</v>
      </c>
      <c r="B15" s="3"/>
      <c r="C15" s="3"/>
      <c r="D15" s="36">
        <v>1600</v>
      </c>
      <c r="E15" s="37"/>
      <c r="F15" s="38">
        <v>1700</v>
      </c>
      <c r="G15" s="39"/>
    </row>
    <row r="16" spans="1:7" ht="12.75">
      <c r="A16" s="3" t="s">
        <v>31</v>
      </c>
      <c r="B16" s="3"/>
      <c r="C16" s="3"/>
      <c r="D16" s="40">
        <v>1000</v>
      </c>
      <c r="E16" s="41"/>
      <c r="F16" s="42">
        <v>1000</v>
      </c>
      <c r="G16" s="43"/>
    </row>
    <row r="17" spans="1:7" ht="12.75">
      <c r="A17" s="3" t="s">
        <v>32</v>
      </c>
      <c r="B17" s="3"/>
      <c r="C17" s="3"/>
      <c r="D17" s="44">
        <f>D14*D16</f>
        <v>10000</v>
      </c>
      <c r="E17" s="41"/>
      <c r="F17" s="45">
        <f>F14*F16</f>
        <v>4500</v>
      </c>
      <c r="G17" s="43"/>
    </row>
    <row r="18" spans="1:7" ht="12.75">
      <c r="A18" s="3" t="s">
        <v>33</v>
      </c>
      <c r="B18" s="3"/>
      <c r="C18" s="3"/>
      <c r="D18" s="44">
        <f>D17*0.7</f>
        <v>7000</v>
      </c>
      <c r="E18" s="46">
        <f>D19*D18</f>
        <v>840</v>
      </c>
      <c r="F18" s="438" t="s">
        <v>34</v>
      </c>
      <c r="G18" s="439"/>
    </row>
    <row r="19" spans="1:9" ht="12.75">
      <c r="A19" s="3" t="s">
        <v>35</v>
      </c>
      <c r="B19" s="3"/>
      <c r="C19" s="3"/>
      <c r="D19" s="47">
        <v>0.12</v>
      </c>
      <c r="E19" s="48"/>
      <c r="F19" s="440"/>
      <c r="G19" s="441"/>
      <c r="I19" s="49"/>
    </row>
    <row r="20" spans="1:7" ht="12.75">
      <c r="A20" s="3" t="s">
        <v>36</v>
      </c>
      <c r="B20" s="3"/>
      <c r="C20" s="3"/>
      <c r="D20" s="50">
        <v>0.25</v>
      </c>
      <c r="E20" s="48"/>
      <c r="F20" s="51">
        <v>0.8</v>
      </c>
      <c r="G20" s="43"/>
    </row>
    <row r="21" spans="1:10" ht="12.75">
      <c r="A21" s="3" t="s">
        <v>37</v>
      </c>
      <c r="B21" s="3"/>
      <c r="C21" s="3"/>
      <c r="D21" s="52">
        <f>D33*D20</f>
        <v>1125</v>
      </c>
      <c r="E21" s="53"/>
      <c r="F21" s="54">
        <f>F17*F20</f>
        <v>3600</v>
      </c>
      <c r="G21" s="55"/>
      <c r="I21" s="58">
        <v>390</v>
      </c>
      <c r="J21" s="21" t="s">
        <v>39</v>
      </c>
    </row>
    <row r="22" spans="1:10" ht="12.75">
      <c r="A22" s="3" t="s">
        <v>83</v>
      </c>
      <c r="B22" s="120">
        <v>3.5</v>
      </c>
      <c r="C22" s="56">
        <v>15</v>
      </c>
      <c r="D22" s="121">
        <f>B22*490</f>
        <v>1715</v>
      </c>
      <c r="E22" s="48"/>
      <c r="F22" s="122">
        <f>IF(C22&lt;=16,I23*C22,IF(C22&gt;=16,I22*C22,IF(C22&gt;=17.5,I21*C22)))</f>
        <v>6300</v>
      </c>
      <c r="G22" s="43"/>
      <c r="I22" s="58">
        <v>400</v>
      </c>
      <c r="J22" s="21" t="s">
        <v>41</v>
      </c>
    </row>
    <row r="23" spans="1:10" ht="12.75">
      <c r="A23" s="3" t="s">
        <v>84</v>
      </c>
      <c r="B23" s="123">
        <v>0.26</v>
      </c>
      <c r="C23" s="124">
        <v>0.24</v>
      </c>
      <c r="D23" s="59"/>
      <c r="E23" s="60"/>
      <c r="F23" s="61"/>
      <c r="G23" s="62"/>
      <c r="I23" s="58">
        <v>420</v>
      </c>
      <c r="J23" s="21" t="s">
        <v>43</v>
      </c>
    </row>
    <row r="24" spans="1:9" ht="12.75">
      <c r="A24" s="63" t="s">
        <v>42</v>
      </c>
      <c r="B24" s="64"/>
      <c r="C24" s="64"/>
      <c r="D24" s="64"/>
      <c r="E24" s="65">
        <f>SUM(E14:E23)</f>
        <v>906.6666666666666</v>
      </c>
      <c r="F24" s="3"/>
      <c r="G24" s="66">
        <f>G21</f>
        <v>0</v>
      </c>
      <c r="I24" s="81"/>
    </row>
    <row r="25" spans="2:7" ht="15" customHeight="1">
      <c r="B25" s="3"/>
      <c r="C25" s="3"/>
      <c r="D25" s="446" t="s">
        <v>44</v>
      </c>
      <c r="E25" s="446"/>
      <c r="F25" s="446"/>
      <c r="G25" s="446"/>
    </row>
    <row r="26" spans="1:9" ht="12.75">
      <c r="A26" s="6" t="s">
        <v>45</v>
      </c>
      <c r="B26" s="3"/>
      <c r="C26" s="3"/>
      <c r="D26" s="67">
        <v>10000</v>
      </c>
      <c r="E26" s="33"/>
      <c r="F26" s="68">
        <f>D26</f>
        <v>10000</v>
      </c>
      <c r="G26" s="35"/>
      <c r="H26" s="21"/>
      <c r="I26" s="69"/>
    </row>
    <row r="27" spans="1:9" ht="12.75">
      <c r="A27" s="3" t="s">
        <v>46</v>
      </c>
      <c r="B27" s="3"/>
      <c r="C27" s="3"/>
      <c r="D27" s="52"/>
      <c r="E27" s="41"/>
      <c r="F27" s="54">
        <f>F22</f>
        <v>6300</v>
      </c>
      <c r="G27" s="70">
        <f>F27*D31</f>
        <v>0</v>
      </c>
      <c r="H27" s="21"/>
      <c r="I27" s="69"/>
    </row>
    <row r="28" spans="1:7" ht="12.75">
      <c r="A28" s="3" t="s">
        <v>85</v>
      </c>
      <c r="B28" s="125">
        <v>2.7</v>
      </c>
      <c r="C28" s="3"/>
      <c r="D28" s="52">
        <f>(D26-D30)/B28</f>
        <v>2814.814814814815</v>
      </c>
      <c r="E28" s="77">
        <f>D28*C23</f>
        <v>675.5555555555555</v>
      </c>
      <c r="F28" s="54"/>
      <c r="G28" s="55"/>
    </row>
    <row r="29" spans="1:9" ht="12.75">
      <c r="A29" s="3" t="s">
        <v>47</v>
      </c>
      <c r="B29" s="3"/>
      <c r="C29" s="3"/>
      <c r="D29" s="71" t="s">
        <v>48</v>
      </c>
      <c r="E29" s="72"/>
      <c r="F29" s="73">
        <f>F26-F27-F31</f>
        <v>1300</v>
      </c>
      <c r="G29" s="70">
        <f>F29*B23</f>
        <v>338</v>
      </c>
      <c r="H29" s="21"/>
      <c r="I29" s="69"/>
    </row>
    <row r="30" spans="1:7" ht="12.75">
      <c r="A30" s="3" t="s">
        <v>49</v>
      </c>
      <c r="B30" s="74">
        <v>2</v>
      </c>
      <c r="C30" s="75">
        <f>B30*450</f>
        <v>900</v>
      </c>
      <c r="D30" s="76">
        <f>B30*1200</f>
        <v>2400</v>
      </c>
      <c r="E30" s="77">
        <f>D30*B32</f>
        <v>168.00000000000003</v>
      </c>
      <c r="F30" s="78"/>
      <c r="G30" s="43"/>
    </row>
    <row r="31" spans="1:9" ht="12.75">
      <c r="A31" s="3" t="s">
        <v>50</v>
      </c>
      <c r="B31" s="74">
        <v>2</v>
      </c>
      <c r="C31" s="75">
        <f>B31*450</f>
        <v>900</v>
      </c>
      <c r="D31" s="52"/>
      <c r="E31" s="79"/>
      <c r="F31" s="80">
        <f>B31*1200</f>
        <v>2400</v>
      </c>
      <c r="G31" s="70">
        <f>F31*B32</f>
        <v>168.00000000000003</v>
      </c>
      <c r="I31" s="81"/>
    </row>
    <row r="32" spans="1:7" ht="12.75">
      <c r="A32" s="3" t="s">
        <v>51</v>
      </c>
      <c r="B32" s="442">
        <v>0.07</v>
      </c>
      <c r="C32" s="443"/>
      <c r="E32" s="41"/>
      <c r="F32" s="78"/>
      <c r="G32" s="82"/>
    </row>
    <row r="33" spans="1:7" ht="12.75">
      <c r="A33" s="6" t="s">
        <v>53</v>
      </c>
      <c r="B33" s="3"/>
      <c r="C33" s="3"/>
      <c r="D33" s="84">
        <v>4500</v>
      </c>
      <c r="E33" s="41"/>
      <c r="F33" s="85">
        <f>D33</f>
        <v>4500</v>
      </c>
      <c r="G33" s="55"/>
    </row>
    <row r="34" spans="1:7" ht="12.75">
      <c r="A34" s="3" t="s">
        <v>54</v>
      </c>
      <c r="B34" s="3"/>
      <c r="C34" s="3"/>
      <c r="D34" s="52">
        <f>D21</f>
        <v>1125</v>
      </c>
      <c r="E34" s="41"/>
      <c r="F34" s="54">
        <f>F21</f>
        <v>3600</v>
      </c>
      <c r="G34" s="43"/>
    </row>
    <row r="35" spans="1:7" ht="12.75">
      <c r="A35" s="3" t="s">
        <v>55</v>
      </c>
      <c r="B35" s="3"/>
      <c r="C35" s="3"/>
      <c r="D35" s="52">
        <f>D33-D34</f>
        <v>3375</v>
      </c>
      <c r="E35" s="77">
        <f>D35*B23</f>
        <v>877.5</v>
      </c>
      <c r="F35" s="54">
        <f>F33-F34</f>
        <v>900</v>
      </c>
      <c r="G35" s="86">
        <f>F35*B23</f>
        <v>234</v>
      </c>
    </row>
    <row r="36" spans="1:7" ht="12.75">
      <c r="A36" s="3" t="s">
        <v>35</v>
      </c>
      <c r="B36" s="87"/>
      <c r="C36" s="88"/>
      <c r="D36" s="89"/>
      <c r="E36" s="90">
        <f>-E18</f>
        <v>-840</v>
      </c>
      <c r="F36" s="91"/>
      <c r="G36" s="92">
        <v>0</v>
      </c>
    </row>
    <row r="37" spans="1:7" ht="12.75">
      <c r="A37" s="93" t="s">
        <v>56</v>
      </c>
      <c r="B37" s="94"/>
      <c r="C37" s="94"/>
      <c r="D37" s="95"/>
      <c r="E37" s="65">
        <f>SUM(E28:E36)</f>
        <v>881.0555555555557</v>
      </c>
      <c r="F37" s="4"/>
      <c r="G37" s="96">
        <f>SUM(G27:G36)</f>
        <v>740</v>
      </c>
    </row>
    <row r="38" spans="1:7" ht="4.5" customHeight="1">
      <c r="A38" s="3"/>
      <c r="B38" s="3"/>
      <c r="C38" s="3"/>
      <c r="D38" s="3"/>
      <c r="E38" s="3"/>
      <c r="F38" s="3"/>
      <c r="G38" s="3"/>
    </row>
    <row r="39" spans="1:7" ht="12.75">
      <c r="A39" s="97" t="s">
        <v>57</v>
      </c>
      <c r="B39" s="97"/>
      <c r="C39" s="97"/>
      <c r="D39" s="3"/>
      <c r="E39" s="3"/>
      <c r="F39" s="3"/>
      <c r="G39" s="3"/>
    </row>
    <row r="40" spans="1:7" ht="12.75">
      <c r="A40" s="3" t="s">
        <v>58</v>
      </c>
      <c r="B40" s="3"/>
      <c r="C40" s="3"/>
      <c r="D40" s="3"/>
      <c r="E40" s="100">
        <f>IF(B30&gt;=0,10000,0)</f>
        <v>10000</v>
      </c>
      <c r="F40" s="99"/>
      <c r="G40" s="100">
        <f>IF(B31&gt;=0,10000,0)</f>
        <v>10000</v>
      </c>
    </row>
    <row r="41" spans="1:7" ht="12.75">
      <c r="A41" s="3" t="s">
        <v>86</v>
      </c>
      <c r="B41" s="3"/>
      <c r="C41" s="3"/>
      <c r="D41" s="3"/>
      <c r="E41" s="126">
        <v>13000</v>
      </c>
      <c r="F41" s="99"/>
      <c r="G41" s="127"/>
    </row>
    <row r="42" spans="1:7" ht="12.75">
      <c r="A42" s="3" t="s">
        <v>59</v>
      </c>
      <c r="B42" s="3"/>
      <c r="C42" s="3"/>
      <c r="D42" s="3"/>
      <c r="E42" s="101" t="s">
        <v>48</v>
      </c>
      <c r="F42" s="99"/>
      <c r="G42" s="102">
        <v>10000</v>
      </c>
    </row>
    <row r="43" spans="1:7" ht="12.75">
      <c r="A43" s="3" t="s">
        <v>60</v>
      </c>
      <c r="B43" s="3"/>
      <c r="C43" s="3"/>
      <c r="E43" s="101">
        <f>D14*D15</f>
        <v>16000</v>
      </c>
      <c r="F43" s="49"/>
      <c r="G43" s="101">
        <f>F14*F15</f>
        <v>7650</v>
      </c>
    </row>
    <row r="44" spans="1:7" ht="12.75">
      <c r="A44" s="3" t="s">
        <v>61</v>
      </c>
      <c r="B44" s="3"/>
      <c r="C44" s="3"/>
      <c r="D44" s="3"/>
      <c r="E44" s="103"/>
      <c r="F44" s="99"/>
      <c r="G44" s="104">
        <v>11000</v>
      </c>
    </row>
    <row r="45" spans="1:7" ht="12.75">
      <c r="A45" s="105" t="s">
        <v>62</v>
      </c>
      <c r="B45" s="106"/>
      <c r="C45" s="106"/>
      <c r="D45" s="106"/>
      <c r="E45" s="107">
        <f>SUM(E40:E44)</f>
        <v>39000</v>
      </c>
      <c r="F45" s="99"/>
      <c r="G45" s="107">
        <f>SUM(G40:G44)</f>
        <v>38650</v>
      </c>
    </row>
    <row r="46" spans="1:7" ht="5.25" customHeight="1">
      <c r="A46" s="3"/>
      <c r="B46" s="3"/>
      <c r="C46" s="3"/>
      <c r="D46" s="3"/>
      <c r="E46" s="99"/>
      <c r="F46" s="99"/>
      <c r="G46" s="99"/>
    </row>
    <row r="47" spans="1:7" ht="12.75">
      <c r="A47" s="3" t="s">
        <v>63</v>
      </c>
      <c r="B47" s="128">
        <v>0.03</v>
      </c>
      <c r="C47" s="3" t="s">
        <v>64</v>
      </c>
      <c r="D47" s="3"/>
      <c r="E47" s="109">
        <f>PMT(B47,10,E45,0,1)</f>
        <v>-4438.82500737983</v>
      </c>
      <c r="F47" s="109"/>
      <c r="G47" s="109">
        <f>PMT(B47,10,G45,0,1)</f>
        <v>-4398.989398339241</v>
      </c>
    </row>
    <row r="48" spans="1:7" ht="12.75">
      <c r="A48" s="3" t="s">
        <v>65</v>
      </c>
      <c r="B48" s="3"/>
      <c r="C48" s="3"/>
      <c r="D48" s="3"/>
      <c r="E48" s="109">
        <f>-E37</f>
        <v>-881.0555555555557</v>
      </c>
      <c r="F48" s="110"/>
      <c r="G48" s="109">
        <f>-G37</f>
        <v>-740</v>
      </c>
    </row>
    <row r="49" spans="1:7" ht="12.75">
      <c r="A49" s="111" t="s">
        <v>66</v>
      </c>
      <c r="B49" s="112"/>
      <c r="C49" s="112"/>
      <c r="D49" s="112"/>
      <c r="E49" s="113">
        <f>SUM(E47:E48)</f>
        <v>-5319.880562935386</v>
      </c>
      <c r="F49" s="110"/>
      <c r="G49" s="114">
        <f>SUM(G47:G48)</f>
        <v>-5138.989398339241</v>
      </c>
    </row>
    <row r="50" spans="1:7" ht="12.75">
      <c r="A50" s="3" t="s">
        <v>67</v>
      </c>
      <c r="B50" s="3"/>
      <c r="C50" s="3"/>
      <c r="D50" s="3"/>
      <c r="E50" s="129">
        <f>E49/12</f>
        <v>-443.32338024461546</v>
      </c>
      <c r="F50" s="109"/>
      <c r="G50" s="129">
        <f>G49/12</f>
        <v>-428.2491165282701</v>
      </c>
    </row>
    <row r="51" ht="6" customHeight="1">
      <c r="A51" s="94"/>
    </row>
    <row r="52" spans="1:3" ht="12.75">
      <c r="A52" s="130" t="s">
        <v>93</v>
      </c>
      <c r="B52" s="11"/>
      <c r="C52" s="11"/>
    </row>
    <row r="53" spans="1:3" ht="12.75">
      <c r="A53" s="6" t="s">
        <v>87</v>
      </c>
      <c r="B53" s="11"/>
      <c r="C53" s="11"/>
    </row>
    <row r="54" spans="1:3" ht="12.75">
      <c r="A54" s="6" t="s">
        <v>88</v>
      </c>
      <c r="B54" s="11"/>
      <c r="C54" s="11"/>
    </row>
    <row r="55" spans="1:3" ht="9.75" customHeight="1">
      <c r="A55" s="6"/>
      <c r="B55" s="117"/>
      <c r="C55" s="117"/>
    </row>
    <row r="56" ht="12.75">
      <c r="A56" s="7" t="s">
        <v>89</v>
      </c>
    </row>
    <row r="57" ht="12.75">
      <c r="A57" s="7" t="s">
        <v>90</v>
      </c>
    </row>
    <row r="58" ht="12.75">
      <c r="A58" s="7" t="s">
        <v>91</v>
      </c>
    </row>
    <row r="59" ht="12.75">
      <c r="A59" s="6" t="s">
        <v>75</v>
      </c>
    </row>
    <row r="60" spans="1:3" ht="12.75">
      <c r="A60" s="131" t="s">
        <v>76</v>
      </c>
      <c r="B60" s="11"/>
      <c r="C60" s="11"/>
    </row>
    <row r="61" spans="1:7" ht="13.5" customHeight="1">
      <c r="A61" s="12" t="s">
        <v>92</v>
      </c>
      <c r="B61" s="132"/>
      <c r="C61" s="132"/>
      <c r="D61" s="12"/>
      <c r="E61" s="12"/>
      <c r="F61" s="12"/>
      <c r="G61" s="12"/>
    </row>
  </sheetData>
  <sheetProtection/>
  <mergeCells count="7">
    <mergeCell ref="F18:G19"/>
    <mergeCell ref="B32:C32"/>
    <mergeCell ref="D25:G25"/>
    <mergeCell ref="F12:G12"/>
    <mergeCell ref="D12:E12"/>
    <mergeCell ref="D13:E13"/>
    <mergeCell ref="F13:G13"/>
  </mergeCells>
  <conditionalFormatting sqref="G50">
    <cfRule type="cellIs" priority="1" dxfId="6" operator="greaterThan" stopIfTrue="1">
      <formula>$E$50</formula>
    </cfRule>
  </conditionalFormatting>
  <conditionalFormatting sqref="E50">
    <cfRule type="cellIs" priority="2" dxfId="0" operator="lessThan" stopIfTrue="1">
      <formula>$G$50</formula>
    </cfRule>
  </conditionalFormatting>
  <conditionalFormatting sqref="F29">
    <cfRule type="cellIs" priority="3" dxfId="7" operator="lessThan" stopIfTrue="1">
      <formula>0</formula>
    </cfRule>
  </conditionalFormatting>
  <conditionalFormatting sqref="B28">
    <cfRule type="cellIs" priority="4" dxfId="3" operator="lessThan" stopIfTrue="1">
      <formula>2</formula>
    </cfRule>
    <cfRule type="cellIs" priority="5" dxfId="3" operator="greaterThan" stopIfTrue="1">
      <formula>3</formula>
    </cfRule>
  </conditionalFormatting>
  <printOptions/>
  <pageMargins left="0.5905511811023623" right="0.3937007874015748" top="0.3937007874015748" bottom="0.3937007874015748" header="0.5118110236220472" footer="0.5118110236220472"/>
  <pageSetup horizontalDpi="1200" verticalDpi="1200" orientation="portrait" paperSize="9" r:id="rId4"/>
  <headerFooter alignWithMargins="0">
    <oddFooter>&amp;L&amp;9ReSys AG im solar info center
Emmy-Noether-Str. 110  - 79110 Freiburg&amp;C&amp;9Tel. 0761.40.11.441
Fx 0761.40.11.442&amp;R&amp;9www.resys-ag.de
info@resys-ag.de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ReSys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 Schallenmüller</dc:creator>
  <cp:keywords/>
  <dc:description/>
  <cp:lastModifiedBy>Gerd Schallenmüller</cp:lastModifiedBy>
  <cp:lastPrinted>2015-10-01T15:57:31Z</cp:lastPrinted>
  <dcterms:created xsi:type="dcterms:W3CDTF">2013-10-01T07:42:54Z</dcterms:created>
  <dcterms:modified xsi:type="dcterms:W3CDTF">2015-10-02T11:45:41Z</dcterms:modified>
  <cp:category/>
  <cp:version/>
  <cp:contentType/>
  <cp:contentStatus/>
</cp:coreProperties>
</file>